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eo\Desktop\"/>
    </mc:Choice>
  </mc:AlternateContent>
  <bookViews>
    <workbookView xWindow="0" yWindow="0" windowWidth="10050" windowHeight="6225"/>
  </bookViews>
  <sheets>
    <sheet name="export_produit_pays_2014" sheetId="1" r:id="rId1"/>
  </sheets>
  <definedNames>
    <definedName name="_xlnm._FilterDatabase" localSheetId="0" hidden="1">export_produit_pays_2014!$A$14:$D$2951</definedName>
  </definedNames>
  <calcPr calcId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A16" i="1"/>
  <c r="B16" i="1"/>
  <c r="B17" i="1"/>
  <c r="B18" i="1"/>
  <c r="A19" i="1"/>
  <c r="B19" i="1"/>
  <c r="B20" i="1"/>
  <c r="B21" i="1"/>
  <c r="A22" i="1"/>
  <c r="B22" i="1"/>
  <c r="B23" i="1"/>
  <c r="B24" i="1"/>
  <c r="A25" i="1"/>
  <c r="B25" i="1"/>
  <c r="B26" i="1"/>
  <c r="B27" i="1"/>
  <c r="B28" i="1"/>
  <c r="A29" i="1"/>
  <c r="B29" i="1"/>
  <c r="B30" i="1"/>
  <c r="B31" i="1"/>
  <c r="B32" i="1"/>
  <c r="A33" i="1"/>
  <c r="B33" i="1"/>
  <c r="B34" i="1"/>
  <c r="B35" i="1"/>
  <c r="A36" i="1"/>
  <c r="B36" i="1"/>
  <c r="B37" i="1"/>
  <c r="B38" i="1"/>
  <c r="A39" i="1"/>
  <c r="B39" i="1"/>
  <c r="B40" i="1"/>
  <c r="B41" i="1"/>
  <c r="B42" i="1"/>
  <c r="A43" i="1"/>
  <c r="B43" i="1"/>
  <c r="B44" i="1"/>
  <c r="B45" i="1"/>
  <c r="A46" i="1"/>
  <c r="B46" i="1"/>
  <c r="B47" i="1"/>
  <c r="B48" i="1"/>
  <c r="A49" i="1"/>
  <c r="B49" i="1"/>
  <c r="B50" i="1"/>
  <c r="B51" i="1"/>
  <c r="A52" i="1"/>
  <c r="B52" i="1"/>
  <c r="B53" i="1"/>
  <c r="B54" i="1"/>
  <c r="A55" i="1"/>
  <c r="B55" i="1"/>
  <c r="B56" i="1"/>
  <c r="B57" i="1"/>
  <c r="B58" i="1"/>
  <c r="B59" i="1"/>
  <c r="B60" i="1"/>
  <c r="B61" i="1"/>
  <c r="B62" i="1"/>
  <c r="B63" i="1"/>
  <c r="B64" i="1"/>
  <c r="A65" i="1"/>
  <c r="B65" i="1"/>
  <c r="B66" i="1"/>
  <c r="B67" i="1"/>
  <c r="A68" i="1"/>
  <c r="B68" i="1"/>
  <c r="B69" i="1"/>
  <c r="B70" i="1"/>
  <c r="A71" i="1"/>
  <c r="B71" i="1"/>
  <c r="B72" i="1"/>
  <c r="B73" i="1"/>
  <c r="A74" i="1"/>
  <c r="B74" i="1"/>
  <c r="B75" i="1"/>
  <c r="B76" i="1"/>
  <c r="A77" i="1"/>
  <c r="B77" i="1"/>
  <c r="B78" i="1"/>
  <c r="B79" i="1"/>
  <c r="A80" i="1"/>
  <c r="B80" i="1"/>
  <c r="B81" i="1"/>
  <c r="B82" i="1"/>
  <c r="A83" i="1"/>
  <c r="B83" i="1"/>
  <c r="B84" i="1"/>
  <c r="B85" i="1"/>
  <c r="A86" i="1"/>
  <c r="B86" i="1"/>
  <c r="B87" i="1"/>
  <c r="B88" i="1"/>
  <c r="A89" i="1"/>
  <c r="B89" i="1"/>
  <c r="B90" i="1"/>
  <c r="B91" i="1"/>
  <c r="A92" i="1"/>
  <c r="B92" i="1"/>
  <c r="B93" i="1"/>
  <c r="B94" i="1"/>
  <c r="B95" i="1"/>
  <c r="A96" i="1"/>
  <c r="B96" i="1"/>
  <c r="B97" i="1"/>
  <c r="B98" i="1"/>
  <c r="B99" i="1"/>
  <c r="A100" i="1"/>
  <c r="B100" i="1"/>
  <c r="B101" i="1"/>
  <c r="B102" i="1"/>
  <c r="B103" i="1"/>
  <c r="B104" i="1"/>
  <c r="B105" i="1"/>
  <c r="B106" i="1"/>
  <c r="B107" i="1"/>
  <c r="B108" i="1"/>
  <c r="A109" i="1"/>
  <c r="B109" i="1"/>
  <c r="B110" i="1"/>
  <c r="B111" i="1"/>
  <c r="B112" i="1"/>
  <c r="A113" i="1"/>
  <c r="B113" i="1"/>
  <c r="B114" i="1"/>
  <c r="B115" i="1"/>
  <c r="B116" i="1"/>
  <c r="B117" i="1"/>
  <c r="B118" i="1"/>
  <c r="B119" i="1"/>
  <c r="B120" i="1"/>
  <c r="A121" i="1"/>
  <c r="B121" i="1"/>
  <c r="B122" i="1"/>
  <c r="B123" i="1"/>
  <c r="B124" i="1"/>
  <c r="B125" i="1"/>
  <c r="A126" i="1"/>
  <c r="B126" i="1"/>
  <c r="B127" i="1"/>
  <c r="B128" i="1"/>
  <c r="B129" i="1"/>
  <c r="A130" i="1"/>
  <c r="B130" i="1"/>
  <c r="B131" i="1"/>
  <c r="B132" i="1"/>
  <c r="B133" i="1"/>
  <c r="B134" i="1"/>
  <c r="A135" i="1"/>
  <c r="B135" i="1"/>
  <c r="B136" i="1"/>
  <c r="B137" i="1"/>
  <c r="A138" i="1"/>
  <c r="B138" i="1"/>
  <c r="B139" i="1"/>
  <c r="B140" i="1"/>
  <c r="A141" i="1"/>
  <c r="B141" i="1"/>
  <c r="B142" i="1"/>
  <c r="B143" i="1"/>
  <c r="A144" i="1"/>
  <c r="B144" i="1"/>
  <c r="B145" i="1"/>
  <c r="B146" i="1"/>
  <c r="A147" i="1"/>
  <c r="B147" i="1"/>
  <c r="B148" i="1"/>
  <c r="B149" i="1"/>
  <c r="A150" i="1"/>
  <c r="B150" i="1"/>
  <c r="B151" i="1"/>
  <c r="B152" i="1"/>
  <c r="A153" i="1"/>
  <c r="B153" i="1"/>
  <c r="B154" i="1"/>
  <c r="B155" i="1"/>
  <c r="B156" i="1"/>
  <c r="A157" i="1"/>
  <c r="B157" i="1"/>
  <c r="B158" i="1"/>
  <c r="B159" i="1"/>
  <c r="B160" i="1"/>
  <c r="A161" i="1"/>
  <c r="B161" i="1"/>
  <c r="B162" i="1"/>
  <c r="B163" i="1"/>
  <c r="B164" i="1"/>
  <c r="A165" i="1"/>
  <c r="B165" i="1"/>
  <c r="B166" i="1"/>
  <c r="B167" i="1"/>
  <c r="B168" i="1"/>
  <c r="B169" i="1"/>
  <c r="B170" i="1"/>
  <c r="B171" i="1"/>
  <c r="A172" i="1"/>
  <c r="B172" i="1"/>
  <c r="B173" i="1"/>
  <c r="B174" i="1"/>
  <c r="B175" i="1"/>
  <c r="A176" i="1"/>
  <c r="B176" i="1"/>
  <c r="B177" i="1"/>
  <c r="B178" i="1"/>
  <c r="A179" i="1"/>
  <c r="B179" i="1"/>
  <c r="B180" i="1"/>
  <c r="B181" i="1"/>
  <c r="A182" i="1"/>
  <c r="B182" i="1"/>
  <c r="B183" i="1"/>
  <c r="B184" i="1"/>
  <c r="B185" i="1"/>
  <c r="B186" i="1"/>
  <c r="A187" i="1"/>
  <c r="B187" i="1"/>
  <c r="B188" i="1"/>
  <c r="B189" i="1"/>
  <c r="B190" i="1"/>
  <c r="B191" i="1"/>
  <c r="B192" i="1"/>
  <c r="A193" i="1"/>
  <c r="B193" i="1"/>
  <c r="B194" i="1"/>
  <c r="B195" i="1"/>
  <c r="A196" i="1"/>
  <c r="B196" i="1"/>
  <c r="B197" i="1"/>
  <c r="B198" i="1"/>
  <c r="A199" i="1"/>
  <c r="B199" i="1"/>
  <c r="B200" i="1"/>
  <c r="B201" i="1"/>
  <c r="B202" i="1"/>
  <c r="B203" i="1"/>
  <c r="B204" i="1"/>
  <c r="B205" i="1"/>
  <c r="B206" i="1"/>
  <c r="B207" i="1"/>
  <c r="B208" i="1"/>
  <c r="A209" i="1"/>
  <c r="B209" i="1"/>
  <c r="B210" i="1"/>
  <c r="B211" i="1"/>
  <c r="A212" i="1"/>
  <c r="B212" i="1"/>
  <c r="B213" i="1"/>
  <c r="B214" i="1"/>
  <c r="A215" i="1"/>
  <c r="B215" i="1"/>
  <c r="B216" i="1"/>
  <c r="B217" i="1"/>
  <c r="A218" i="1"/>
  <c r="B218" i="1"/>
  <c r="B219" i="1"/>
  <c r="B220" i="1"/>
  <c r="A221" i="1"/>
  <c r="B221" i="1"/>
  <c r="B222" i="1"/>
  <c r="B223" i="1"/>
  <c r="A224" i="1"/>
  <c r="B224" i="1"/>
  <c r="B225" i="1"/>
  <c r="B226" i="1"/>
  <c r="B227" i="1"/>
  <c r="B228" i="1"/>
  <c r="A229" i="1"/>
  <c r="B229" i="1"/>
  <c r="B230" i="1"/>
  <c r="B231" i="1"/>
  <c r="A232" i="1"/>
  <c r="B232" i="1"/>
  <c r="B233" i="1"/>
  <c r="B234" i="1"/>
  <c r="B235" i="1"/>
  <c r="A236" i="1"/>
  <c r="B236" i="1"/>
  <c r="B237" i="1"/>
  <c r="B238" i="1"/>
  <c r="B239" i="1"/>
  <c r="B240" i="1"/>
  <c r="B241" i="1"/>
  <c r="B242" i="1"/>
  <c r="A243" i="1"/>
  <c r="B243" i="1"/>
  <c r="B244" i="1"/>
  <c r="B245" i="1"/>
  <c r="B246" i="1"/>
  <c r="B247" i="1"/>
  <c r="B248" i="1"/>
  <c r="A249" i="1"/>
  <c r="B249" i="1"/>
  <c r="B250" i="1"/>
  <c r="B251" i="1"/>
  <c r="B252" i="1"/>
  <c r="B253" i="1"/>
  <c r="B254" i="1"/>
  <c r="B255" i="1"/>
  <c r="B256" i="1"/>
  <c r="B257" i="1"/>
  <c r="B258" i="1"/>
  <c r="B259" i="1"/>
  <c r="A260" i="1"/>
  <c r="B260" i="1"/>
  <c r="B261" i="1"/>
  <c r="B262" i="1"/>
  <c r="A263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A281" i="1"/>
  <c r="B281" i="1"/>
  <c r="B282" i="1"/>
  <c r="B283" i="1"/>
  <c r="A284" i="1"/>
  <c r="B284" i="1"/>
  <c r="B285" i="1"/>
  <c r="B286" i="1"/>
  <c r="A287" i="1"/>
  <c r="B287" i="1"/>
  <c r="B288" i="1"/>
  <c r="B289" i="1"/>
  <c r="A290" i="1"/>
  <c r="B290" i="1"/>
  <c r="B291" i="1"/>
  <c r="B292" i="1"/>
  <c r="A293" i="1"/>
  <c r="B293" i="1"/>
  <c r="B294" i="1"/>
  <c r="B295" i="1"/>
  <c r="A296" i="1"/>
  <c r="B296" i="1"/>
  <c r="B297" i="1"/>
  <c r="B298" i="1"/>
  <c r="B299" i="1"/>
  <c r="A300" i="1"/>
  <c r="B300" i="1"/>
  <c r="B301" i="1"/>
  <c r="B302" i="1"/>
  <c r="A303" i="1"/>
  <c r="B303" i="1"/>
  <c r="B304" i="1"/>
  <c r="B305" i="1"/>
  <c r="A306" i="1"/>
  <c r="B306" i="1"/>
  <c r="B307" i="1"/>
  <c r="B308" i="1"/>
  <c r="B309" i="1"/>
  <c r="B310" i="1"/>
  <c r="A311" i="1"/>
  <c r="B311" i="1"/>
  <c r="B312" i="1"/>
  <c r="B313" i="1"/>
  <c r="B314" i="1"/>
  <c r="B315" i="1"/>
  <c r="A316" i="1"/>
  <c r="B316" i="1"/>
  <c r="B317" i="1"/>
  <c r="B318" i="1"/>
  <c r="A319" i="1"/>
  <c r="B319" i="1"/>
  <c r="B320" i="1"/>
  <c r="B321" i="1"/>
  <c r="A322" i="1"/>
  <c r="B322" i="1"/>
  <c r="B323" i="1"/>
  <c r="B324" i="1"/>
  <c r="A325" i="1"/>
  <c r="B325" i="1"/>
  <c r="B326" i="1"/>
  <c r="B327" i="1"/>
  <c r="A328" i="1"/>
  <c r="B328" i="1"/>
  <c r="B329" i="1"/>
  <c r="B330" i="1"/>
  <c r="A331" i="1"/>
  <c r="B331" i="1"/>
  <c r="B332" i="1"/>
  <c r="B333" i="1"/>
  <c r="A334" i="1"/>
  <c r="B334" i="1"/>
  <c r="B335" i="1"/>
  <c r="B336" i="1"/>
  <c r="A337" i="1"/>
  <c r="B337" i="1"/>
  <c r="B338" i="1"/>
  <c r="B339" i="1"/>
  <c r="B340" i="1"/>
  <c r="B341" i="1"/>
  <c r="B342" i="1"/>
  <c r="B343" i="1"/>
  <c r="A344" i="1"/>
  <c r="B344" i="1"/>
  <c r="B345" i="1"/>
  <c r="B346" i="1"/>
  <c r="A347" i="1"/>
  <c r="B347" i="1"/>
  <c r="B348" i="1"/>
  <c r="B349" i="1"/>
  <c r="A350" i="1"/>
  <c r="B350" i="1"/>
  <c r="B351" i="1"/>
  <c r="B352" i="1"/>
  <c r="A353" i="1"/>
  <c r="B353" i="1"/>
  <c r="B354" i="1"/>
  <c r="B355" i="1"/>
  <c r="B356" i="1"/>
  <c r="B357" i="1"/>
  <c r="B358" i="1"/>
  <c r="B359" i="1"/>
  <c r="B360" i="1"/>
  <c r="A361" i="1"/>
  <c r="B361" i="1"/>
  <c r="B362" i="1"/>
  <c r="B363" i="1"/>
  <c r="B364" i="1"/>
  <c r="B365" i="1"/>
  <c r="B366" i="1"/>
  <c r="A367" i="1"/>
  <c r="B367" i="1"/>
  <c r="B368" i="1"/>
  <c r="B369" i="1"/>
  <c r="A370" i="1"/>
  <c r="B370" i="1"/>
  <c r="B371" i="1"/>
  <c r="B372" i="1"/>
  <c r="A373" i="1"/>
  <c r="B373" i="1"/>
  <c r="B374" i="1"/>
  <c r="B375" i="1"/>
  <c r="A376" i="1"/>
  <c r="B376" i="1"/>
  <c r="B377" i="1"/>
  <c r="B378" i="1"/>
  <c r="A379" i="1"/>
  <c r="B379" i="1"/>
  <c r="B380" i="1"/>
  <c r="B381" i="1"/>
  <c r="B382" i="1"/>
  <c r="B383" i="1"/>
  <c r="B384" i="1"/>
  <c r="B385" i="1"/>
  <c r="A386" i="1"/>
  <c r="B386" i="1"/>
  <c r="B387" i="1"/>
  <c r="B388" i="1"/>
  <c r="B389" i="1"/>
  <c r="B390" i="1"/>
  <c r="B391" i="1"/>
  <c r="B392" i="1"/>
  <c r="B393" i="1"/>
  <c r="A394" i="1"/>
  <c r="B394" i="1"/>
  <c r="B395" i="1"/>
  <c r="B396" i="1"/>
  <c r="B397" i="1"/>
  <c r="B398" i="1"/>
  <c r="A399" i="1"/>
  <c r="B399" i="1"/>
  <c r="B400" i="1"/>
  <c r="B401" i="1"/>
  <c r="B402" i="1"/>
  <c r="A403" i="1"/>
  <c r="B403" i="1"/>
  <c r="B404" i="1"/>
  <c r="B405" i="1"/>
  <c r="A406" i="1"/>
  <c r="B406" i="1"/>
  <c r="B407" i="1"/>
  <c r="B408" i="1"/>
  <c r="A409" i="1"/>
  <c r="B409" i="1"/>
  <c r="B410" i="1"/>
  <c r="B411" i="1"/>
  <c r="A412" i="1"/>
  <c r="B412" i="1"/>
  <c r="B413" i="1"/>
  <c r="B414" i="1"/>
  <c r="B415" i="1"/>
  <c r="A416" i="1"/>
  <c r="B416" i="1"/>
  <c r="B417" i="1"/>
  <c r="B418" i="1"/>
  <c r="B419" i="1"/>
  <c r="A420" i="1"/>
  <c r="B420" i="1"/>
  <c r="B421" i="1"/>
  <c r="B422" i="1"/>
  <c r="A423" i="1"/>
  <c r="B423" i="1"/>
  <c r="B424" i="1"/>
  <c r="B425" i="1"/>
  <c r="B426" i="1"/>
  <c r="B427" i="1"/>
  <c r="A428" i="1"/>
  <c r="B428" i="1"/>
  <c r="B429" i="1"/>
  <c r="B430" i="1"/>
  <c r="B431" i="1"/>
  <c r="B432" i="1"/>
  <c r="B433" i="1"/>
  <c r="B434" i="1"/>
  <c r="B435" i="1"/>
  <c r="A436" i="1"/>
  <c r="B436" i="1"/>
  <c r="B437" i="1"/>
  <c r="B438" i="1"/>
  <c r="A439" i="1"/>
  <c r="B439" i="1"/>
  <c r="B440" i="1"/>
  <c r="B441" i="1"/>
  <c r="B442" i="1"/>
  <c r="B443" i="1"/>
  <c r="B444" i="1"/>
  <c r="A445" i="1"/>
  <c r="B445" i="1"/>
  <c r="B446" i="1"/>
  <c r="B447" i="1"/>
  <c r="A448" i="1"/>
  <c r="B448" i="1"/>
  <c r="B449" i="1"/>
  <c r="B450" i="1"/>
  <c r="A451" i="1"/>
  <c r="B451" i="1"/>
  <c r="B452" i="1"/>
  <c r="B453" i="1"/>
  <c r="A454" i="1"/>
  <c r="B454" i="1"/>
  <c r="B455" i="1"/>
  <c r="B456" i="1"/>
  <c r="A457" i="1"/>
  <c r="B457" i="1"/>
  <c r="B458" i="1"/>
  <c r="B459" i="1"/>
  <c r="A460" i="1"/>
  <c r="B460" i="1"/>
  <c r="B461" i="1"/>
  <c r="B462" i="1"/>
  <c r="B463" i="1"/>
  <c r="A464" i="1"/>
  <c r="B464" i="1"/>
  <c r="B465" i="1"/>
  <c r="B466" i="1"/>
  <c r="A467" i="1"/>
  <c r="B467" i="1"/>
  <c r="B468" i="1"/>
  <c r="B469" i="1"/>
  <c r="B470" i="1"/>
  <c r="A471" i="1"/>
  <c r="B471" i="1"/>
  <c r="B472" i="1"/>
  <c r="B473" i="1"/>
  <c r="A474" i="1"/>
  <c r="B474" i="1"/>
  <c r="B475" i="1"/>
  <c r="B476" i="1"/>
  <c r="A477" i="1"/>
  <c r="B477" i="1"/>
  <c r="B478" i="1"/>
  <c r="B479" i="1"/>
  <c r="A480" i="1"/>
  <c r="B480" i="1"/>
  <c r="B481" i="1"/>
  <c r="B482" i="1"/>
  <c r="B483" i="1"/>
  <c r="A484" i="1"/>
  <c r="B484" i="1"/>
  <c r="B485" i="1"/>
  <c r="B486" i="1"/>
  <c r="A487" i="1"/>
  <c r="B487" i="1"/>
  <c r="B488" i="1"/>
  <c r="B489" i="1"/>
  <c r="A490" i="1"/>
  <c r="B490" i="1"/>
  <c r="B491" i="1"/>
  <c r="B492" i="1"/>
  <c r="B493" i="1"/>
  <c r="B494" i="1"/>
  <c r="B495" i="1"/>
  <c r="A496" i="1"/>
  <c r="B496" i="1"/>
  <c r="B497" i="1"/>
  <c r="B498" i="1"/>
  <c r="B499" i="1"/>
  <c r="A500" i="1"/>
  <c r="B500" i="1"/>
  <c r="B501" i="1"/>
  <c r="B502" i="1"/>
  <c r="A503" i="1"/>
  <c r="B503" i="1"/>
  <c r="B504" i="1"/>
  <c r="B505" i="1"/>
  <c r="A506" i="1"/>
  <c r="B506" i="1"/>
  <c r="B507" i="1"/>
  <c r="B508" i="1"/>
  <c r="A509" i="1"/>
  <c r="B509" i="1"/>
  <c r="B510" i="1"/>
  <c r="B511" i="1"/>
  <c r="A512" i="1"/>
  <c r="B512" i="1"/>
  <c r="B513" i="1"/>
  <c r="B514" i="1"/>
  <c r="A515" i="1"/>
  <c r="B515" i="1"/>
  <c r="B516" i="1"/>
  <c r="B517" i="1"/>
  <c r="B518" i="1"/>
  <c r="A519" i="1"/>
  <c r="B519" i="1"/>
  <c r="B520" i="1"/>
  <c r="B521" i="1"/>
  <c r="A522" i="1"/>
  <c r="B522" i="1"/>
  <c r="B523" i="1"/>
  <c r="B524" i="1"/>
  <c r="A525" i="1"/>
  <c r="B525" i="1"/>
  <c r="B526" i="1"/>
  <c r="B527" i="1"/>
  <c r="A528" i="1"/>
  <c r="B528" i="1"/>
  <c r="B529" i="1"/>
  <c r="B530" i="1"/>
  <c r="A531" i="1"/>
  <c r="B531" i="1"/>
  <c r="B532" i="1"/>
  <c r="B533" i="1"/>
  <c r="A534" i="1"/>
  <c r="B534" i="1"/>
  <c r="B535" i="1"/>
  <c r="B536" i="1"/>
  <c r="B537" i="1"/>
  <c r="B538" i="1"/>
  <c r="B539" i="1"/>
  <c r="B540" i="1"/>
  <c r="B541" i="1"/>
  <c r="A542" i="1"/>
  <c r="B542" i="1"/>
  <c r="B543" i="1"/>
  <c r="B544" i="1"/>
  <c r="B545" i="1"/>
  <c r="A546" i="1"/>
  <c r="B546" i="1"/>
  <c r="B547" i="1"/>
  <c r="B548" i="1"/>
  <c r="A549" i="1"/>
  <c r="B549" i="1"/>
  <c r="B550" i="1"/>
  <c r="B551" i="1"/>
  <c r="A552" i="1"/>
  <c r="B552" i="1"/>
  <c r="B553" i="1"/>
  <c r="B554" i="1"/>
  <c r="A555" i="1"/>
  <c r="B555" i="1"/>
  <c r="B556" i="1"/>
  <c r="B557" i="1"/>
  <c r="B558" i="1"/>
  <c r="B559" i="1"/>
  <c r="B560" i="1"/>
  <c r="B561" i="1"/>
  <c r="A562" i="1"/>
  <c r="B562" i="1"/>
  <c r="B563" i="1"/>
  <c r="B564" i="1"/>
  <c r="A565" i="1"/>
  <c r="B565" i="1"/>
  <c r="B566" i="1"/>
  <c r="B567" i="1"/>
  <c r="A568" i="1"/>
  <c r="B568" i="1"/>
  <c r="B569" i="1"/>
  <c r="B570" i="1"/>
  <c r="A571" i="1"/>
  <c r="B571" i="1"/>
  <c r="B572" i="1"/>
  <c r="B573" i="1"/>
  <c r="A574" i="1"/>
  <c r="B574" i="1"/>
  <c r="B575" i="1"/>
  <c r="B576" i="1"/>
  <c r="A577" i="1"/>
  <c r="B577" i="1"/>
  <c r="B578" i="1"/>
  <c r="B579" i="1"/>
  <c r="B580" i="1"/>
  <c r="B581" i="1"/>
  <c r="B582" i="1"/>
  <c r="A583" i="1"/>
  <c r="B583" i="1"/>
  <c r="B584" i="1"/>
  <c r="B585" i="1"/>
  <c r="A586" i="1"/>
  <c r="B586" i="1"/>
  <c r="B587" i="1"/>
  <c r="B588" i="1"/>
  <c r="A589" i="1"/>
  <c r="B589" i="1"/>
  <c r="B590" i="1"/>
  <c r="B591" i="1"/>
  <c r="A592" i="1"/>
  <c r="B592" i="1"/>
  <c r="B593" i="1"/>
  <c r="B594" i="1"/>
  <c r="A595" i="1"/>
  <c r="B595" i="1"/>
  <c r="B596" i="1"/>
  <c r="B597" i="1"/>
  <c r="B598" i="1"/>
  <c r="A599" i="1"/>
  <c r="B599" i="1"/>
  <c r="B600" i="1"/>
  <c r="B601" i="1"/>
  <c r="B602" i="1"/>
  <c r="B603" i="1"/>
  <c r="A604" i="1"/>
  <c r="B604" i="1"/>
  <c r="B605" i="1"/>
  <c r="B606" i="1"/>
  <c r="A607" i="1"/>
  <c r="B607" i="1"/>
  <c r="B608" i="1"/>
  <c r="B609" i="1"/>
  <c r="A610" i="1"/>
  <c r="B610" i="1"/>
  <c r="B611" i="1"/>
  <c r="B612" i="1"/>
  <c r="B613" i="1"/>
  <c r="A614" i="1"/>
  <c r="B614" i="1"/>
  <c r="B615" i="1"/>
  <c r="B616" i="1"/>
  <c r="B617" i="1"/>
  <c r="A618" i="1"/>
  <c r="B618" i="1"/>
  <c r="B619" i="1"/>
  <c r="B620" i="1"/>
  <c r="B621" i="1"/>
  <c r="A622" i="1"/>
  <c r="B622" i="1"/>
  <c r="B623" i="1"/>
  <c r="B624" i="1"/>
  <c r="A625" i="1"/>
  <c r="B625" i="1"/>
  <c r="B626" i="1"/>
  <c r="B627" i="1"/>
  <c r="A628" i="1"/>
  <c r="B628" i="1"/>
  <c r="B629" i="1"/>
  <c r="B630" i="1"/>
  <c r="B631" i="1"/>
  <c r="A632" i="1"/>
  <c r="B632" i="1"/>
  <c r="B633" i="1"/>
  <c r="B634" i="1"/>
  <c r="A635" i="1"/>
  <c r="B635" i="1"/>
  <c r="B636" i="1"/>
  <c r="B637" i="1"/>
  <c r="B638" i="1"/>
  <c r="A639" i="1"/>
  <c r="B639" i="1"/>
  <c r="B640" i="1"/>
  <c r="B641" i="1"/>
  <c r="A642" i="1"/>
  <c r="B642" i="1"/>
  <c r="B643" i="1"/>
  <c r="B644" i="1"/>
  <c r="A645" i="1"/>
  <c r="B645" i="1"/>
  <c r="B646" i="1"/>
  <c r="B647" i="1"/>
  <c r="A648" i="1"/>
  <c r="B648" i="1"/>
  <c r="B649" i="1"/>
  <c r="B650" i="1"/>
  <c r="B651" i="1"/>
  <c r="A652" i="1"/>
  <c r="B652" i="1"/>
  <c r="B653" i="1"/>
  <c r="B654" i="1"/>
  <c r="B655" i="1"/>
  <c r="B656" i="1"/>
  <c r="B657" i="1"/>
  <c r="B658" i="1"/>
  <c r="A659" i="1"/>
  <c r="B659" i="1"/>
  <c r="B660" i="1"/>
  <c r="B661" i="1"/>
  <c r="B662" i="1"/>
  <c r="B663" i="1"/>
  <c r="A664" i="1"/>
  <c r="B664" i="1"/>
  <c r="B665" i="1"/>
  <c r="B666" i="1"/>
  <c r="B667" i="1"/>
  <c r="A668" i="1"/>
  <c r="B668" i="1"/>
  <c r="B669" i="1"/>
  <c r="B670" i="1"/>
  <c r="B671" i="1"/>
  <c r="B672" i="1"/>
  <c r="A673" i="1"/>
  <c r="B673" i="1"/>
  <c r="B674" i="1"/>
  <c r="B675" i="1"/>
  <c r="A676" i="1"/>
  <c r="B676" i="1"/>
  <c r="B677" i="1"/>
  <c r="B678" i="1"/>
  <c r="B679" i="1"/>
  <c r="A680" i="1"/>
  <c r="B680" i="1"/>
  <c r="B681" i="1"/>
  <c r="B682" i="1"/>
  <c r="B683" i="1"/>
  <c r="A684" i="1"/>
  <c r="B684" i="1"/>
  <c r="B685" i="1"/>
  <c r="B686" i="1"/>
  <c r="A687" i="1"/>
  <c r="B687" i="1"/>
  <c r="B688" i="1"/>
  <c r="B689" i="1"/>
  <c r="B690" i="1"/>
  <c r="B691" i="1"/>
  <c r="B692" i="1"/>
  <c r="A693" i="1"/>
  <c r="B693" i="1"/>
  <c r="B694" i="1"/>
  <c r="B695" i="1"/>
  <c r="A696" i="1"/>
  <c r="B696" i="1"/>
  <c r="B697" i="1"/>
  <c r="B698" i="1"/>
  <c r="B699" i="1"/>
  <c r="B700" i="1"/>
  <c r="B701" i="1"/>
  <c r="A702" i="1"/>
  <c r="B702" i="1"/>
  <c r="B703" i="1"/>
  <c r="B704" i="1"/>
  <c r="B705" i="1"/>
  <c r="B706" i="1"/>
  <c r="A707" i="1"/>
  <c r="B707" i="1"/>
  <c r="B708" i="1"/>
  <c r="B709" i="1"/>
  <c r="B710" i="1"/>
  <c r="B711" i="1"/>
  <c r="B712" i="1"/>
  <c r="B713" i="1"/>
  <c r="B714" i="1"/>
  <c r="A715" i="1"/>
  <c r="B715" i="1"/>
  <c r="B716" i="1"/>
  <c r="B717" i="1"/>
  <c r="A718" i="1"/>
  <c r="B718" i="1"/>
  <c r="B719" i="1"/>
  <c r="B720" i="1"/>
  <c r="B721" i="1"/>
  <c r="B722" i="1"/>
  <c r="A723" i="1"/>
  <c r="B723" i="1"/>
  <c r="B724" i="1"/>
  <c r="B725" i="1"/>
  <c r="A726" i="1"/>
  <c r="B726" i="1"/>
  <c r="B727" i="1"/>
  <c r="B728" i="1"/>
  <c r="A729" i="1"/>
  <c r="B729" i="1"/>
  <c r="B730" i="1"/>
  <c r="B731" i="1"/>
  <c r="A732" i="1"/>
  <c r="B732" i="1"/>
  <c r="B733" i="1"/>
  <c r="B734" i="1"/>
  <c r="A735" i="1"/>
  <c r="B735" i="1"/>
  <c r="B736" i="1"/>
  <c r="B737" i="1"/>
  <c r="B738" i="1"/>
  <c r="B739" i="1"/>
  <c r="B740" i="1"/>
  <c r="A741" i="1"/>
  <c r="B741" i="1"/>
  <c r="B742" i="1"/>
  <c r="B743" i="1"/>
  <c r="A744" i="1"/>
  <c r="B744" i="1"/>
  <c r="B745" i="1"/>
  <c r="B746" i="1"/>
  <c r="A747" i="1"/>
  <c r="B747" i="1"/>
  <c r="B748" i="1"/>
  <c r="B749" i="1"/>
  <c r="B750" i="1"/>
  <c r="A751" i="1"/>
  <c r="B751" i="1"/>
  <c r="B752" i="1"/>
  <c r="B753" i="1"/>
  <c r="A754" i="1"/>
  <c r="B754" i="1"/>
  <c r="B755" i="1"/>
  <c r="B756" i="1"/>
  <c r="A757" i="1"/>
  <c r="B757" i="1"/>
  <c r="B758" i="1"/>
  <c r="B759" i="1"/>
  <c r="A760" i="1"/>
  <c r="B760" i="1"/>
  <c r="B761" i="1"/>
  <c r="B762" i="1"/>
  <c r="A763" i="1"/>
  <c r="B763" i="1"/>
  <c r="B764" i="1"/>
  <c r="B765" i="1"/>
  <c r="B766" i="1"/>
  <c r="A767" i="1"/>
  <c r="B767" i="1"/>
  <c r="B768" i="1"/>
  <c r="B769" i="1"/>
  <c r="A770" i="1"/>
  <c r="B770" i="1"/>
  <c r="B771" i="1"/>
  <c r="B772" i="1"/>
  <c r="A773" i="1"/>
  <c r="B773" i="1"/>
  <c r="B774" i="1"/>
  <c r="B775" i="1"/>
  <c r="B776" i="1"/>
  <c r="A777" i="1"/>
  <c r="B777" i="1"/>
  <c r="B778" i="1"/>
  <c r="B779" i="1"/>
  <c r="A780" i="1"/>
  <c r="B780" i="1"/>
  <c r="B781" i="1"/>
  <c r="B782" i="1"/>
  <c r="B783" i="1"/>
  <c r="A784" i="1"/>
  <c r="B784" i="1"/>
  <c r="B785" i="1"/>
  <c r="B786" i="1"/>
  <c r="B787" i="1"/>
  <c r="B788" i="1"/>
  <c r="B789" i="1"/>
  <c r="A790" i="1"/>
  <c r="B790" i="1"/>
  <c r="B791" i="1"/>
  <c r="B792" i="1"/>
  <c r="B793" i="1"/>
  <c r="B794" i="1"/>
  <c r="A795" i="1"/>
  <c r="B795" i="1"/>
  <c r="B796" i="1"/>
  <c r="B797" i="1"/>
  <c r="B798" i="1"/>
  <c r="B799" i="1"/>
  <c r="B800" i="1"/>
  <c r="B801" i="1"/>
  <c r="B802" i="1"/>
  <c r="A803" i="1"/>
  <c r="B803" i="1"/>
  <c r="B804" i="1"/>
  <c r="B805" i="1"/>
  <c r="B806" i="1"/>
  <c r="B807" i="1"/>
  <c r="A808" i="1"/>
  <c r="B808" i="1"/>
  <c r="B809" i="1"/>
  <c r="B810" i="1"/>
  <c r="A811" i="1"/>
  <c r="B811" i="1"/>
  <c r="B812" i="1"/>
  <c r="B813" i="1"/>
  <c r="A814" i="1"/>
  <c r="B814" i="1"/>
  <c r="B815" i="1"/>
  <c r="B816" i="1"/>
  <c r="A817" i="1"/>
  <c r="B817" i="1"/>
  <c r="B818" i="1"/>
  <c r="B819" i="1"/>
  <c r="A820" i="1"/>
  <c r="B820" i="1"/>
  <c r="B821" i="1"/>
  <c r="B822" i="1"/>
  <c r="A823" i="1"/>
  <c r="B823" i="1"/>
  <c r="B824" i="1"/>
  <c r="B825" i="1"/>
  <c r="A826" i="1"/>
  <c r="B826" i="1"/>
  <c r="B827" i="1"/>
  <c r="B828" i="1"/>
  <c r="B829" i="1"/>
  <c r="A830" i="1"/>
  <c r="B830" i="1"/>
  <c r="B831" i="1"/>
  <c r="B832" i="1"/>
  <c r="B833" i="1"/>
  <c r="A834" i="1"/>
  <c r="B834" i="1"/>
  <c r="B835" i="1"/>
  <c r="B836" i="1"/>
  <c r="B837" i="1"/>
  <c r="B838" i="1"/>
  <c r="A839" i="1"/>
  <c r="B839" i="1"/>
  <c r="B840" i="1"/>
  <c r="B841" i="1"/>
  <c r="A842" i="1"/>
  <c r="B842" i="1"/>
  <c r="B843" i="1"/>
  <c r="B844" i="1"/>
  <c r="B845" i="1"/>
  <c r="B846" i="1"/>
  <c r="B847" i="1"/>
  <c r="B848" i="1"/>
  <c r="B849" i="1"/>
  <c r="B850" i="1"/>
  <c r="A851" i="1"/>
  <c r="B851" i="1"/>
  <c r="B852" i="1"/>
  <c r="B853" i="1"/>
  <c r="B854" i="1"/>
  <c r="B855" i="1"/>
  <c r="B856" i="1"/>
  <c r="B857" i="1"/>
  <c r="B858" i="1"/>
  <c r="A859" i="1"/>
  <c r="B859" i="1"/>
  <c r="B860" i="1"/>
  <c r="B861" i="1"/>
  <c r="A862" i="1"/>
  <c r="B862" i="1"/>
  <c r="B863" i="1"/>
  <c r="B864" i="1"/>
  <c r="B865" i="1"/>
  <c r="B866" i="1"/>
  <c r="B867" i="1"/>
  <c r="A868" i="1"/>
  <c r="B868" i="1"/>
  <c r="B869" i="1"/>
  <c r="B870" i="1"/>
  <c r="B871" i="1"/>
  <c r="A872" i="1"/>
  <c r="B872" i="1"/>
  <c r="B873" i="1"/>
  <c r="B874" i="1"/>
  <c r="A875" i="1"/>
  <c r="B875" i="1"/>
  <c r="B876" i="1"/>
  <c r="B877" i="1"/>
  <c r="A878" i="1"/>
  <c r="B878" i="1"/>
  <c r="B879" i="1"/>
  <c r="B880" i="1"/>
  <c r="A881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A895" i="1"/>
  <c r="B895" i="1"/>
  <c r="B896" i="1"/>
  <c r="B897" i="1"/>
  <c r="B898" i="1"/>
  <c r="B899" i="1"/>
  <c r="A900" i="1"/>
  <c r="B900" i="1"/>
  <c r="B901" i="1"/>
  <c r="B902" i="1"/>
  <c r="A903" i="1"/>
  <c r="B903" i="1"/>
  <c r="B904" i="1"/>
  <c r="B905" i="1"/>
  <c r="B906" i="1"/>
  <c r="B907" i="1"/>
  <c r="B908" i="1"/>
  <c r="B909" i="1"/>
  <c r="B910" i="1"/>
  <c r="A911" i="1"/>
  <c r="B911" i="1"/>
  <c r="B912" i="1"/>
  <c r="B913" i="1"/>
  <c r="A914" i="1"/>
  <c r="B914" i="1"/>
  <c r="B915" i="1"/>
  <c r="B916" i="1"/>
  <c r="B917" i="1"/>
  <c r="B918" i="1"/>
  <c r="A919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A942" i="1"/>
  <c r="B942" i="1"/>
  <c r="B943" i="1"/>
  <c r="B944" i="1"/>
  <c r="B945" i="1"/>
  <c r="B946" i="1"/>
  <c r="B947" i="1"/>
  <c r="B948" i="1"/>
  <c r="B949" i="1"/>
  <c r="A950" i="1"/>
  <c r="B950" i="1"/>
  <c r="B951" i="1"/>
  <c r="B952" i="1"/>
  <c r="B953" i="1"/>
  <c r="A954" i="1"/>
  <c r="B954" i="1"/>
  <c r="B955" i="1"/>
  <c r="B956" i="1"/>
  <c r="A957" i="1"/>
  <c r="B957" i="1"/>
  <c r="B958" i="1"/>
  <c r="B959" i="1"/>
  <c r="B960" i="1"/>
  <c r="B961" i="1"/>
  <c r="B962" i="1"/>
  <c r="A963" i="1"/>
  <c r="B963" i="1"/>
  <c r="B964" i="1"/>
  <c r="B965" i="1"/>
  <c r="B966" i="1"/>
  <c r="A967" i="1"/>
  <c r="B967" i="1"/>
  <c r="B968" i="1"/>
  <c r="B969" i="1"/>
  <c r="A970" i="1"/>
  <c r="B970" i="1"/>
  <c r="B971" i="1"/>
  <c r="B972" i="1"/>
  <c r="A973" i="1"/>
  <c r="B973" i="1"/>
  <c r="B974" i="1"/>
  <c r="B975" i="1"/>
  <c r="B976" i="1"/>
  <c r="A977" i="1"/>
  <c r="B977" i="1"/>
  <c r="B978" i="1"/>
  <c r="B979" i="1"/>
  <c r="A980" i="1"/>
  <c r="B980" i="1"/>
  <c r="B981" i="1"/>
  <c r="B982" i="1"/>
  <c r="A983" i="1"/>
  <c r="B983" i="1"/>
  <c r="B984" i="1"/>
  <c r="B985" i="1"/>
  <c r="A986" i="1"/>
  <c r="B986" i="1"/>
  <c r="B987" i="1"/>
  <c r="B988" i="1"/>
  <c r="A989" i="1"/>
  <c r="B989" i="1"/>
  <c r="B990" i="1"/>
  <c r="B991" i="1"/>
  <c r="A992" i="1"/>
  <c r="B992" i="1"/>
  <c r="B993" i="1"/>
  <c r="B994" i="1"/>
  <c r="B995" i="1"/>
  <c r="A996" i="1"/>
  <c r="B996" i="1"/>
  <c r="B997" i="1"/>
  <c r="B998" i="1"/>
  <c r="A999" i="1"/>
  <c r="B999" i="1"/>
  <c r="B1000" i="1"/>
  <c r="B1001" i="1"/>
  <c r="A1002" i="1"/>
  <c r="B1002" i="1"/>
  <c r="B1003" i="1"/>
  <c r="B1004" i="1"/>
  <c r="A1005" i="1"/>
  <c r="B1005" i="1"/>
  <c r="B1006" i="1"/>
  <c r="B1007" i="1"/>
  <c r="A1008" i="1"/>
  <c r="B1008" i="1"/>
  <c r="B1009" i="1"/>
  <c r="B1010" i="1"/>
  <c r="B1011" i="1"/>
  <c r="A1012" i="1"/>
  <c r="B1012" i="1"/>
  <c r="B1013" i="1"/>
  <c r="B1014" i="1"/>
  <c r="A1015" i="1"/>
  <c r="B1015" i="1"/>
  <c r="B1016" i="1"/>
  <c r="B1017" i="1"/>
  <c r="A1018" i="1"/>
  <c r="B1018" i="1"/>
  <c r="B1019" i="1"/>
  <c r="B1020" i="1"/>
  <c r="A1021" i="1"/>
  <c r="B1021" i="1"/>
  <c r="B1022" i="1"/>
  <c r="B1023" i="1"/>
  <c r="A1024" i="1"/>
  <c r="B1024" i="1"/>
  <c r="B1025" i="1"/>
  <c r="B1026" i="1"/>
  <c r="A1027" i="1"/>
  <c r="B1027" i="1"/>
  <c r="B1028" i="1"/>
  <c r="B1029" i="1"/>
  <c r="A1030" i="1"/>
  <c r="B1030" i="1"/>
  <c r="B1031" i="1"/>
  <c r="B1032" i="1"/>
  <c r="A1033" i="1"/>
  <c r="B1033" i="1"/>
  <c r="B1034" i="1"/>
  <c r="B1035" i="1"/>
  <c r="A1036" i="1"/>
  <c r="B1036" i="1"/>
  <c r="B1037" i="1"/>
  <c r="B1038" i="1"/>
  <c r="B1039" i="1"/>
  <c r="B1040" i="1"/>
  <c r="B1041" i="1"/>
  <c r="B1042" i="1"/>
  <c r="A1043" i="1"/>
  <c r="B1043" i="1"/>
  <c r="B1044" i="1"/>
  <c r="B1045" i="1"/>
  <c r="A1046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A1072" i="1"/>
  <c r="B1072" i="1"/>
  <c r="B1073" i="1"/>
  <c r="B1074" i="1"/>
  <c r="A1075" i="1"/>
  <c r="B1075" i="1"/>
  <c r="B1076" i="1"/>
  <c r="B1077" i="1"/>
  <c r="A1078" i="1"/>
  <c r="B1078" i="1"/>
  <c r="B1079" i="1"/>
  <c r="B1080" i="1"/>
  <c r="B1081" i="1"/>
  <c r="B1082" i="1"/>
  <c r="B1083" i="1"/>
  <c r="A1084" i="1"/>
  <c r="B1084" i="1"/>
  <c r="B1085" i="1"/>
  <c r="B1086" i="1"/>
  <c r="A1087" i="1"/>
  <c r="B1087" i="1"/>
  <c r="B1088" i="1"/>
  <c r="B1089" i="1"/>
  <c r="A1090" i="1"/>
  <c r="B1090" i="1"/>
  <c r="B1091" i="1"/>
  <c r="B1092" i="1"/>
  <c r="A1093" i="1"/>
  <c r="B1093" i="1"/>
  <c r="B1094" i="1"/>
  <c r="B1095" i="1"/>
  <c r="A1096" i="1"/>
  <c r="B1096" i="1"/>
  <c r="B1097" i="1"/>
  <c r="B1098" i="1"/>
  <c r="A1099" i="1"/>
  <c r="B1099" i="1"/>
  <c r="B1100" i="1"/>
  <c r="B1101" i="1"/>
  <c r="B1102" i="1"/>
  <c r="B1103" i="1"/>
  <c r="B1104" i="1"/>
  <c r="B1105" i="1"/>
  <c r="B1106" i="1"/>
  <c r="A1107" i="1"/>
  <c r="B1107" i="1"/>
  <c r="B1108" i="1"/>
  <c r="B1109" i="1"/>
  <c r="A1110" i="1"/>
  <c r="B1110" i="1"/>
  <c r="B1111" i="1"/>
  <c r="B1112" i="1"/>
  <c r="A1113" i="1"/>
  <c r="B1113" i="1"/>
  <c r="B1114" i="1"/>
  <c r="B1115" i="1"/>
  <c r="B1116" i="1"/>
  <c r="A1117" i="1"/>
  <c r="B1117" i="1"/>
  <c r="B1118" i="1"/>
  <c r="B1119" i="1"/>
  <c r="A1120" i="1"/>
  <c r="B1120" i="1"/>
  <c r="B1121" i="1"/>
  <c r="B1122" i="1"/>
  <c r="A1123" i="1"/>
  <c r="B1123" i="1"/>
  <c r="B1124" i="1"/>
  <c r="B1125" i="1"/>
  <c r="B1126" i="1"/>
  <c r="B1127" i="1"/>
  <c r="B1128" i="1"/>
  <c r="B1129" i="1"/>
  <c r="A1130" i="1"/>
  <c r="B1130" i="1"/>
  <c r="B1131" i="1"/>
  <c r="B1132" i="1"/>
  <c r="A1133" i="1"/>
  <c r="B1133" i="1"/>
  <c r="B1134" i="1"/>
  <c r="B1135" i="1"/>
  <c r="B1136" i="1"/>
  <c r="A1137" i="1"/>
  <c r="B1137" i="1"/>
  <c r="B1138" i="1"/>
  <c r="B1139" i="1"/>
  <c r="A1140" i="1"/>
  <c r="B1140" i="1"/>
  <c r="B1141" i="1"/>
  <c r="B1142" i="1"/>
  <c r="A1143" i="1"/>
  <c r="B1143" i="1"/>
  <c r="B1144" i="1"/>
  <c r="B1145" i="1"/>
  <c r="A1146" i="1"/>
  <c r="B1146" i="1"/>
  <c r="B1147" i="1"/>
  <c r="B1148" i="1"/>
  <c r="B1149" i="1"/>
  <c r="A1150" i="1"/>
  <c r="B1150" i="1"/>
  <c r="B1151" i="1"/>
  <c r="B1152" i="1"/>
  <c r="A1153" i="1"/>
  <c r="B1153" i="1"/>
  <c r="B1154" i="1"/>
  <c r="B1155" i="1"/>
  <c r="A1156" i="1"/>
  <c r="B1156" i="1"/>
  <c r="B1157" i="1"/>
  <c r="B1158" i="1"/>
  <c r="A1159" i="1"/>
  <c r="B1159" i="1"/>
  <c r="B1160" i="1"/>
  <c r="B1161" i="1"/>
  <c r="B1162" i="1"/>
  <c r="A1163" i="1"/>
  <c r="B1163" i="1"/>
  <c r="B1164" i="1"/>
  <c r="B1165" i="1"/>
  <c r="B1166" i="1"/>
  <c r="A1167" i="1"/>
  <c r="B1167" i="1"/>
  <c r="B1168" i="1"/>
  <c r="B1169" i="1"/>
  <c r="A1170" i="1"/>
  <c r="B1170" i="1"/>
  <c r="B1171" i="1"/>
  <c r="B1172" i="1"/>
  <c r="B1173" i="1"/>
  <c r="A1174" i="1"/>
  <c r="B1174" i="1"/>
  <c r="B1175" i="1"/>
  <c r="B1176" i="1"/>
  <c r="A1177" i="1"/>
  <c r="B1177" i="1"/>
  <c r="B1178" i="1"/>
  <c r="B1179" i="1"/>
  <c r="A1180" i="1"/>
  <c r="B1180" i="1"/>
  <c r="B1181" i="1"/>
  <c r="B1182" i="1"/>
  <c r="A1183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A1203" i="1"/>
  <c r="B1203" i="1"/>
  <c r="B1204" i="1"/>
  <c r="B1205" i="1"/>
  <c r="B1206" i="1"/>
  <c r="B1207" i="1"/>
  <c r="B1208" i="1"/>
  <c r="B1209" i="1"/>
  <c r="B1210" i="1"/>
  <c r="B1211" i="1"/>
  <c r="B1212" i="1"/>
  <c r="A1213" i="1"/>
  <c r="B1213" i="1"/>
  <c r="B1214" i="1"/>
  <c r="B1215" i="1"/>
  <c r="B1216" i="1"/>
  <c r="B1217" i="1"/>
  <c r="B1218" i="1"/>
  <c r="B1219" i="1"/>
  <c r="B1220" i="1"/>
  <c r="B1221" i="1"/>
  <c r="A1222" i="1"/>
  <c r="B1222" i="1"/>
  <c r="B1223" i="1"/>
  <c r="B1224" i="1"/>
  <c r="A1225" i="1"/>
  <c r="B1225" i="1"/>
  <c r="B1226" i="1"/>
  <c r="B1227" i="1"/>
  <c r="B1228" i="1"/>
  <c r="B1229" i="1"/>
  <c r="A1230" i="1"/>
  <c r="B1230" i="1"/>
  <c r="B1231" i="1"/>
  <c r="B1232" i="1"/>
  <c r="A1233" i="1"/>
  <c r="B1233" i="1"/>
  <c r="B1234" i="1"/>
  <c r="B1235" i="1"/>
  <c r="A1236" i="1"/>
  <c r="B1236" i="1"/>
  <c r="B1237" i="1"/>
  <c r="B1238" i="1"/>
  <c r="B1239" i="1"/>
  <c r="B1240" i="1"/>
  <c r="A1241" i="1"/>
  <c r="B1241" i="1"/>
  <c r="B1242" i="1"/>
  <c r="B1243" i="1"/>
  <c r="B1244" i="1"/>
  <c r="A1245" i="1"/>
  <c r="B1245" i="1"/>
  <c r="B1246" i="1"/>
  <c r="B1247" i="1"/>
  <c r="B1248" i="1"/>
  <c r="A1249" i="1"/>
  <c r="B1249" i="1"/>
  <c r="B1250" i="1"/>
  <c r="B1251" i="1"/>
  <c r="B1252" i="1"/>
  <c r="A1253" i="1"/>
  <c r="B1253" i="1"/>
  <c r="B1254" i="1"/>
  <c r="B1255" i="1"/>
  <c r="A1256" i="1"/>
  <c r="B1256" i="1"/>
  <c r="B1257" i="1"/>
  <c r="B1258" i="1"/>
  <c r="A1259" i="1"/>
  <c r="B1259" i="1"/>
  <c r="B1260" i="1"/>
  <c r="B1261" i="1"/>
  <c r="B1262" i="1"/>
  <c r="A1263" i="1"/>
  <c r="B1263" i="1"/>
  <c r="B1264" i="1"/>
  <c r="B1265" i="1"/>
  <c r="B1266" i="1"/>
  <c r="B1267" i="1"/>
  <c r="A1268" i="1"/>
  <c r="B1268" i="1"/>
  <c r="B1269" i="1"/>
  <c r="B1270" i="1"/>
  <c r="A1271" i="1"/>
  <c r="B1271" i="1"/>
  <c r="B1272" i="1"/>
  <c r="B1273" i="1"/>
  <c r="B1274" i="1"/>
  <c r="B1275" i="1"/>
  <c r="B1276" i="1"/>
  <c r="A1277" i="1"/>
  <c r="B1277" i="1"/>
  <c r="B1278" i="1"/>
  <c r="B1279" i="1"/>
  <c r="B1280" i="1"/>
  <c r="A1281" i="1"/>
  <c r="B1281" i="1"/>
  <c r="B1282" i="1"/>
  <c r="B1283" i="1"/>
  <c r="B1284" i="1"/>
  <c r="B1285" i="1"/>
  <c r="A1286" i="1"/>
  <c r="B1286" i="1"/>
  <c r="B1287" i="1"/>
  <c r="B1288" i="1"/>
  <c r="B1289" i="1"/>
  <c r="B1290" i="1"/>
  <c r="A1291" i="1"/>
  <c r="B1291" i="1"/>
  <c r="B1292" i="1"/>
  <c r="B1293" i="1"/>
  <c r="A1294" i="1"/>
  <c r="B1294" i="1"/>
  <c r="B1295" i="1"/>
  <c r="B1296" i="1"/>
  <c r="A1297" i="1"/>
  <c r="B1297" i="1"/>
  <c r="B1298" i="1"/>
  <c r="B1299" i="1"/>
  <c r="B1300" i="1"/>
  <c r="A1301" i="1"/>
  <c r="B1301" i="1"/>
  <c r="B1302" i="1"/>
  <c r="B1303" i="1"/>
  <c r="A1304" i="1"/>
  <c r="B1304" i="1"/>
  <c r="B1305" i="1"/>
  <c r="B1306" i="1"/>
  <c r="B1307" i="1"/>
  <c r="B1308" i="1"/>
  <c r="A1309" i="1"/>
  <c r="B1309" i="1"/>
  <c r="B1310" i="1"/>
  <c r="B1311" i="1"/>
  <c r="B1312" i="1"/>
  <c r="A1313" i="1"/>
  <c r="B1313" i="1"/>
  <c r="B1314" i="1"/>
  <c r="B1315" i="1"/>
  <c r="A1316" i="1"/>
  <c r="B1316" i="1"/>
  <c r="B1317" i="1"/>
  <c r="B1318" i="1"/>
  <c r="A1319" i="1"/>
  <c r="B1319" i="1"/>
  <c r="B1320" i="1"/>
  <c r="B1321" i="1"/>
  <c r="A1322" i="1"/>
  <c r="B1322" i="1"/>
  <c r="B1323" i="1"/>
  <c r="B1324" i="1"/>
  <c r="A1325" i="1"/>
  <c r="B1325" i="1"/>
  <c r="B1326" i="1"/>
  <c r="B1327" i="1"/>
  <c r="B1328" i="1"/>
  <c r="B1329" i="1"/>
  <c r="A1330" i="1"/>
  <c r="B1330" i="1"/>
  <c r="B1331" i="1"/>
  <c r="B1332" i="1"/>
  <c r="B1333" i="1"/>
  <c r="A1334" i="1"/>
  <c r="B1334" i="1"/>
  <c r="B1335" i="1"/>
  <c r="B1336" i="1"/>
  <c r="B1337" i="1"/>
  <c r="B1338" i="1"/>
  <c r="A1339" i="1"/>
  <c r="B1339" i="1"/>
  <c r="B1340" i="1"/>
  <c r="B1341" i="1"/>
  <c r="A1342" i="1"/>
  <c r="B1342" i="1"/>
  <c r="B1343" i="1"/>
  <c r="B1344" i="1"/>
  <c r="A1345" i="1"/>
  <c r="B1345" i="1"/>
  <c r="B1346" i="1"/>
  <c r="B1347" i="1"/>
  <c r="A1348" i="1"/>
  <c r="B1348" i="1"/>
  <c r="B1349" i="1"/>
  <c r="B1350" i="1"/>
  <c r="A1351" i="1"/>
  <c r="B1351" i="1"/>
  <c r="B1352" i="1"/>
  <c r="B1353" i="1"/>
  <c r="B1354" i="1"/>
  <c r="B1355" i="1"/>
  <c r="B1356" i="1"/>
  <c r="A1357" i="1"/>
  <c r="B1357" i="1"/>
  <c r="B1358" i="1"/>
  <c r="B1359" i="1"/>
  <c r="A1360" i="1"/>
  <c r="B1360" i="1"/>
  <c r="B1361" i="1"/>
  <c r="B1362" i="1"/>
  <c r="B1363" i="1"/>
  <c r="B1364" i="1"/>
  <c r="B1365" i="1"/>
  <c r="A1366" i="1"/>
  <c r="B1366" i="1"/>
  <c r="B1367" i="1"/>
  <c r="B1368" i="1"/>
  <c r="B1369" i="1"/>
  <c r="B1370" i="1"/>
  <c r="B1371" i="1"/>
  <c r="A1372" i="1"/>
  <c r="B1372" i="1"/>
  <c r="B1373" i="1"/>
  <c r="B1374" i="1"/>
  <c r="B1375" i="1"/>
  <c r="A1376" i="1"/>
  <c r="B1376" i="1"/>
  <c r="B1377" i="1"/>
  <c r="B1378" i="1"/>
  <c r="B1379" i="1"/>
  <c r="B1380" i="1"/>
  <c r="B1381" i="1"/>
  <c r="B1382" i="1"/>
  <c r="B1383" i="1"/>
  <c r="A1384" i="1"/>
  <c r="B1384" i="1"/>
  <c r="B1385" i="1"/>
  <c r="B1386" i="1"/>
  <c r="B1387" i="1"/>
  <c r="B1388" i="1"/>
  <c r="B1389" i="1"/>
  <c r="A1390" i="1"/>
  <c r="B1390" i="1"/>
  <c r="B1391" i="1"/>
  <c r="B1392" i="1"/>
  <c r="B1393" i="1"/>
  <c r="B1394" i="1"/>
  <c r="A1395" i="1"/>
  <c r="B1395" i="1"/>
  <c r="B1396" i="1"/>
  <c r="B1397" i="1"/>
  <c r="B1398" i="1"/>
  <c r="B1399" i="1"/>
  <c r="B1400" i="1"/>
  <c r="A1401" i="1"/>
  <c r="B1401" i="1"/>
  <c r="B1402" i="1"/>
  <c r="B1403" i="1"/>
  <c r="B1404" i="1"/>
  <c r="B1405" i="1"/>
  <c r="B1406" i="1"/>
  <c r="A1407" i="1"/>
  <c r="B1407" i="1"/>
  <c r="B1408" i="1"/>
  <c r="B1409" i="1"/>
  <c r="A1410" i="1"/>
  <c r="B1410" i="1"/>
  <c r="B1411" i="1"/>
  <c r="B1412" i="1"/>
  <c r="A1413" i="1"/>
  <c r="B1413" i="1"/>
  <c r="B1414" i="1"/>
  <c r="B1415" i="1"/>
  <c r="B1416" i="1"/>
  <c r="B1417" i="1"/>
  <c r="B1418" i="1"/>
  <c r="A1419" i="1"/>
  <c r="B1419" i="1"/>
  <c r="B1420" i="1"/>
  <c r="B1421" i="1"/>
  <c r="B1422" i="1"/>
  <c r="B1423" i="1"/>
  <c r="A1424" i="1"/>
  <c r="B1424" i="1"/>
  <c r="B1425" i="1"/>
  <c r="B1426" i="1"/>
  <c r="A1427" i="1"/>
  <c r="B1427" i="1"/>
  <c r="B1428" i="1"/>
  <c r="B1429" i="1"/>
  <c r="A1430" i="1"/>
  <c r="B1430" i="1"/>
  <c r="B1431" i="1"/>
  <c r="B1432" i="1"/>
  <c r="A1433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A1461" i="1"/>
  <c r="B1461" i="1"/>
  <c r="B1462" i="1"/>
  <c r="B1463" i="1"/>
  <c r="B1464" i="1"/>
  <c r="B1465" i="1"/>
  <c r="A1466" i="1"/>
  <c r="B1466" i="1"/>
  <c r="B1467" i="1"/>
  <c r="B1468" i="1"/>
  <c r="A1469" i="1"/>
  <c r="B1469" i="1"/>
  <c r="B1470" i="1"/>
  <c r="B1471" i="1"/>
  <c r="B1472" i="1"/>
  <c r="B1473" i="1"/>
  <c r="B1474" i="1"/>
  <c r="B1475" i="1"/>
  <c r="B1476" i="1"/>
  <c r="B1477" i="1"/>
  <c r="B1478" i="1"/>
  <c r="A1479" i="1"/>
  <c r="B1479" i="1"/>
  <c r="B1480" i="1"/>
  <c r="B1481" i="1"/>
  <c r="A1482" i="1"/>
  <c r="B1482" i="1"/>
  <c r="B1483" i="1"/>
  <c r="B1484" i="1"/>
  <c r="B1485" i="1"/>
  <c r="A1486" i="1"/>
  <c r="B1486" i="1"/>
  <c r="B1487" i="1"/>
  <c r="B1488" i="1"/>
  <c r="B1489" i="1"/>
  <c r="B1490" i="1"/>
  <c r="B1491" i="1"/>
  <c r="B1492" i="1"/>
  <c r="A1493" i="1"/>
  <c r="B1493" i="1"/>
  <c r="B1494" i="1"/>
  <c r="B1495" i="1"/>
  <c r="A1496" i="1"/>
  <c r="B1496" i="1"/>
  <c r="B1497" i="1"/>
  <c r="B1498" i="1"/>
  <c r="B1499" i="1"/>
  <c r="A1500" i="1"/>
  <c r="B1500" i="1"/>
  <c r="B1501" i="1"/>
  <c r="B1502" i="1"/>
  <c r="A1503" i="1"/>
  <c r="B1503" i="1"/>
  <c r="B1504" i="1"/>
  <c r="B1505" i="1"/>
  <c r="B1506" i="1"/>
  <c r="A1507" i="1"/>
  <c r="B1507" i="1"/>
  <c r="B1508" i="1"/>
  <c r="B1509" i="1"/>
  <c r="B1510" i="1"/>
  <c r="A1511" i="1"/>
  <c r="B1511" i="1"/>
  <c r="B1512" i="1"/>
  <c r="B1513" i="1"/>
  <c r="B1514" i="1"/>
  <c r="A1515" i="1"/>
  <c r="B1515" i="1"/>
  <c r="B1516" i="1"/>
  <c r="B1517" i="1"/>
  <c r="A1518" i="1"/>
  <c r="B1518" i="1"/>
  <c r="B1519" i="1"/>
  <c r="B1520" i="1"/>
  <c r="B1521" i="1"/>
  <c r="A1522" i="1"/>
  <c r="B1522" i="1"/>
  <c r="B1523" i="1"/>
  <c r="B1524" i="1"/>
  <c r="A1525" i="1"/>
  <c r="B1525" i="1"/>
  <c r="B1526" i="1"/>
  <c r="B1527" i="1"/>
  <c r="B1528" i="1"/>
  <c r="B1529" i="1"/>
  <c r="B1530" i="1"/>
  <c r="B1531" i="1"/>
  <c r="B1532" i="1"/>
  <c r="B1533" i="1"/>
  <c r="B1534" i="1"/>
  <c r="A1535" i="1"/>
  <c r="B1535" i="1"/>
  <c r="B1536" i="1"/>
  <c r="B1537" i="1"/>
  <c r="A1538" i="1"/>
  <c r="B1538" i="1"/>
  <c r="B1539" i="1"/>
  <c r="B1540" i="1"/>
  <c r="B1541" i="1"/>
  <c r="A1542" i="1"/>
  <c r="B1542" i="1"/>
  <c r="B1543" i="1"/>
  <c r="B1544" i="1"/>
  <c r="B1545" i="1"/>
  <c r="B1546" i="1"/>
  <c r="B1547" i="1"/>
  <c r="B1548" i="1"/>
  <c r="B1549" i="1"/>
  <c r="A1550" i="1"/>
  <c r="B1550" i="1"/>
  <c r="B1551" i="1"/>
  <c r="B1552" i="1"/>
  <c r="B1553" i="1"/>
  <c r="B1554" i="1"/>
  <c r="A1555" i="1"/>
  <c r="B1555" i="1"/>
  <c r="B1556" i="1"/>
  <c r="B1557" i="1"/>
  <c r="B1558" i="1"/>
  <c r="A1559" i="1"/>
  <c r="B1559" i="1"/>
  <c r="B1560" i="1"/>
  <c r="B1561" i="1"/>
  <c r="B1562" i="1"/>
  <c r="B1563" i="1"/>
  <c r="A1564" i="1"/>
  <c r="B1564" i="1"/>
  <c r="B1565" i="1"/>
  <c r="B1566" i="1"/>
  <c r="B1567" i="1"/>
  <c r="A1568" i="1"/>
  <c r="B1568" i="1"/>
  <c r="B1569" i="1"/>
  <c r="B1570" i="1"/>
  <c r="B1571" i="1"/>
  <c r="B1572" i="1"/>
  <c r="A1573" i="1"/>
  <c r="B1573" i="1"/>
  <c r="B1574" i="1"/>
  <c r="B1575" i="1"/>
  <c r="A1576" i="1"/>
  <c r="B1576" i="1"/>
  <c r="B1577" i="1"/>
  <c r="B1578" i="1"/>
  <c r="A1579" i="1"/>
  <c r="B1579" i="1"/>
  <c r="B1580" i="1"/>
  <c r="B1581" i="1"/>
  <c r="B1582" i="1"/>
  <c r="A1583" i="1"/>
  <c r="B1583" i="1"/>
  <c r="B1584" i="1"/>
  <c r="B1585" i="1"/>
  <c r="A1586" i="1"/>
  <c r="B1586" i="1"/>
  <c r="B1587" i="1"/>
  <c r="B1588" i="1"/>
  <c r="A1589" i="1"/>
  <c r="B1589" i="1"/>
  <c r="B1590" i="1"/>
  <c r="B1591" i="1"/>
  <c r="B1592" i="1"/>
  <c r="B1593" i="1"/>
  <c r="A1594" i="1"/>
  <c r="B1594" i="1"/>
  <c r="B1595" i="1"/>
  <c r="B1596" i="1"/>
  <c r="A1597" i="1"/>
  <c r="B1597" i="1"/>
  <c r="B1598" i="1"/>
  <c r="B1599" i="1"/>
  <c r="A1600" i="1"/>
  <c r="B1600" i="1"/>
  <c r="B1601" i="1"/>
  <c r="B1602" i="1"/>
  <c r="B1603" i="1"/>
  <c r="A1604" i="1"/>
  <c r="B1604" i="1"/>
  <c r="B1605" i="1"/>
  <c r="B1606" i="1"/>
  <c r="A1607" i="1"/>
  <c r="B1607" i="1"/>
  <c r="B1608" i="1"/>
  <c r="B1609" i="1"/>
  <c r="A1610" i="1"/>
  <c r="B1610" i="1"/>
  <c r="B1611" i="1"/>
  <c r="B1612" i="1"/>
  <c r="A1613" i="1"/>
  <c r="B1613" i="1"/>
  <c r="B1614" i="1"/>
  <c r="B1615" i="1"/>
  <c r="B1616" i="1"/>
  <c r="A1617" i="1"/>
  <c r="B1617" i="1"/>
  <c r="B1618" i="1"/>
  <c r="B1619" i="1"/>
  <c r="A1620" i="1"/>
  <c r="B1620" i="1"/>
  <c r="B1621" i="1"/>
  <c r="B1622" i="1"/>
  <c r="B1623" i="1"/>
  <c r="B1624" i="1"/>
  <c r="A1625" i="1"/>
  <c r="B1625" i="1"/>
  <c r="B1626" i="1"/>
  <c r="B1627" i="1"/>
  <c r="B1628" i="1"/>
  <c r="A1629" i="1"/>
  <c r="B1629" i="1"/>
  <c r="B1630" i="1"/>
  <c r="B1631" i="1"/>
  <c r="B1632" i="1"/>
  <c r="B1633" i="1"/>
  <c r="B1634" i="1"/>
  <c r="A1635" i="1"/>
  <c r="B1635" i="1"/>
  <c r="B1636" i="1"/>
  <c r="B1637" i="1"/>
  <c r="A1638" i="1"/>
  <c r="B1638" i="1"/>
  <c r="B1639" i="1"/>
  <c r="B1640" i="1"/>
  <c r="A1641" i="1"/>
  <c r="B1641" i="1"/>
  <c r="B1642" i="1"/>
  <c r="B1643" i="1"/>
  <c r="A1644" i="1"/>
  <c r="B1644" i="1"/>
  <c r="B1645" i="1"/>
  <c r="B1646" i="1"/>
  <c r="B1647" i="1"/>
  <c r="A1648" i="1"/>
  <c r="B1648" i="1"/>
  <c r="B1649" i="1"/>
  <c r="B1650" i="1"/>
  <c r="B1651" i="1"/>
  <c r="A1652" i="1"/>
  <c r="B1652" i="1"/>
  <c r="B1653" i="1"/>
  <c r="B1654" i="1"/>
  <c r="B1655" i="1"/>
  <c r="B1656" i="1"/>
  <c r="A1657" i="1"/>
  <c r="B1657" i="1"/>
  <c r="B1658" i="1"/>
  <c r="B1659" i="1"/>
  <c r="B1660" i="1"/>
  <c r="B1661" i="1"/>
  <c r="A1662" i="1"/>
  <c r="B1662" i="1"/>
  <c r="B1663" i="1"/>
  <c r="B1664" i="1"/>
  <c r="B1665" i="1"/>
  <c r="B1666" i="1"/>
  <c r="B1667" i="1"/>
  <c r="A1668" i="1"/>
  <c r="B1668" i="1"/>
  <c r="B1669" i="1"/>
  <c r="B1670" i="1"/>
  <c r="B1671" i="1"/>
  <c r="A1672" i="1"/>
  <c r="B1672" i="1"/>
  <c r="B1673" i="1"/>
  <c r="B1674" i="1"/>
  <c r="B1675" i="1"/>
  <c r="B1676" i="1"/>
  <c r="A1677" i="1"/>
  <c r="B1677" i="1"/>
  <c r="B1678" i="1"/>
  <c r="B1679" i="1"/>
  <c r="A1680" i="1"/>
  <c r="B1680" i="1"/>
  <c r="B1681" i="1"/>
  <c r="B1682" i="1"/>
  <c r="A1683" i="1"/>
  <c r="B1683" i="1"/>
  <c r="B1684" i="1"/>
  <c r="B1685" i="1"/>
  <c r="A1686" i="1"/>
  <c r="B1686" i="1"/>
  <c r="B1687" i="1"/>
  <c r="B1688" i="1"/>
  <c r="B1689" i="1"/>
  <c r="B1690" i="1"/>
  <c r="B1691" i="1"/>
  <c r="B1692" i="1"/>
  <c r="B1693" i="1"/>
  <c r="A1694" i="1"/>
  <c r="B1694" i="1"/>
  <c r="B1695" i="1"/>
  <c r="B1696" i="1"/>
  <c r="B1697" i="1"/>
  <c r="A1698" i="1"/>
  <c r="B1698" i="1"/>
  <c r="B1699" i="1"/>
  <c r="B1700" i="1"/>
  <c r="A1701" i="1"/>
  <c r="B1701" i="1"/>
  <c r="B1702" i="1"/>
  <c r="B1703" i="1"/>
  <c r="B1704" i="1"/>
  <c r="A1705" i="1"/>
  <c r="B1705" i="1"/>
  <c r="B1706" i="1"/>
  <c r="B1707" i="1"/>
  <c r="B1708" i="1"/>
  <c r="A1709" i="1"/>
  <c r="B1709" i="1"/>
  <c r="B1710" i="1"/>
  <c r="B1711" i="1"/>
  <c r="B1712" i="1"/>
  <c r="B1713" i="1"/>
  <c r="A1714" i="1"/>
  <c r="B1714" i="1"/>
  <c r="B1715" i="1"/>
  <c r="B1716" i="1"/>
  <c r="A1717" i="1"/>
  <c r="B1717" i="1"/>
  <c r="B1718" i="1"/>
  <c r="B1719" i="1"/>
  <c r="A1720" i="1"/>
  <c r="B1720" i="1"/>
  <c r="B1721" i="1"/>
  <c r="B1722" i="1"/>
  <c r="B1723" i="1"/>
  <c r="A1724" i="1"/>
  <c r="B1724" i="1"/>
  <c r="B1725" i="1"/>
  <c r="B1726" i="1"/>
  <c r="A1727" i="1"/>
  <c r="B1727" i="1"/>
  <c r="B1728" i="1"/>
  <c r="B1729" i="1"/>
  <c r="B1730" i="1"/>
  <c r="A1731" i="1"/>
  <c r="B1731" i="1"/>
  <c r="B1732" i="1"/>
  <c r="B1733" i="1"/>
  <c r="A1734" i="1"/>
  <c r="B1734" i="1"/>
  <c r="B1735" i="1"/>
  <c r="B1736" i="1"/>
  <c r="B1737" i="1"/>
  <c r="A1738" i="1"/>
  <c r="B1738" i="1"/>
  <c r="B1739" i="1"/>
  <c r="B1740" i="1"/>
  <c r="A1741" i="1"/>
  <c r="B1741" i="1"/>
  <c r="B1742" i="1"/>
  <c r="B1743" i="1"/>
  <c r="A1744" i="1"/>
  <c r="B1744" i="1"/>
  <c r="B1745" i="1"/>
  <c r="B1746" i="1"/>
  <c r="B1747" i="1"/>
  <c r="A1748" i="1"/>
  <c r="B1748" i="1"/>
  <c r="B1749" i="1"/>
  <c r="B1750" i="1"/>
  <c r="A1751" i="1"/>
  <c r="B1751" i="1"/>
  <c r="B1752" i="1"/>
  <c r="B1753" i="1"/>
  <c r="B1754" i="1"/>
  <c r="A1755" i="1"/>
  <c r="B1755" i="1"/>
  <c r="B1756" i="1"/>
  <c r="B1757" i="1"/>
  <c r="B1758" i="1"/>
  <c r="A1759" i="1"/>
  <c r="B1759" i="1"/>
  <c r="B1760" i="1"/>
  <c r="B1761" i="1"/>
  <c r="B1762" i="1"/>
  <c r="B1763" i="1"/>
  <c r="B1764" i="1"/>
  <c r="A1765" i="1"/>
  <c r="B1765" i="1"/>
  <c r="B1766" i="1"/>
  <c r="B1767" i="1"/>
  <c r="B1768" i="1"/>
  <c r="A1769" i="1"/>
  <c r="B1769" i="1"/>
  <c r="B1770" i="1"/>
  <c r="B1771" i="1"/>
  <c r="B1772" i="1"/>
  <c r="B1773" i="1"/>
  <c r="B1774" i="1"/>
  <c r="A1775" i="1"/>
  <c r="B1775" i="1"/>
  <c r="B1776" i="1"/>
  <c r="B1777" i="1"/>
  <c r="B1778" i="1"/>
  <c r="B1779" i="1"/>
  <c r="A1780" i="1"/>
  <c r="B1780" i="1"/>
  <c r="B1781" i="1"/>
  <c r="B1782" i="1"/>
  <c r="B1783" i="1"/>
  <c r="A1784" i="1"/>
  <c r="B1784" i="1"/>
  <c r="B1785" i="1"/>
  <c r="B1786" i="1"/>
  <c r="B1787" i="1"/>
  <c r="B1788" i="1"/>
  <c r="A1789" i="1"/>
  <c r="B1789" i="1"/>
  <c r="B1790" i="1"/>
  <c r="B1791" i="1"/>
  <c r="A1792" i="1"/>
  <c r="B1792" i="1"/>
  <c r="B1793" i="1"/>
  <c r="B1794" i="1"/>
  <c r="B1795" i="1"/>
  <c r="A1796" i="1"/>
  <c r="B1796" i="1"/>
  <c r="B1797" i="1"/>
  <c r="B1798" i="1"/>
  <c r="B1799" i="1"/>
  <c r="B1800" i="1"/>
  <c r="A1801" i="1"/>
  <c r="B1801" i="1"/>
  <c r="B1802" i="1"/>
  <c r="B1803" i="1"/>
  <c r="B1804" i="1"/>
  <c r="A1805" i="1"/>
  <c r="B1805" i="1"/>
  <c r="B1806" i="1"/>
  <c r="B1807" i="1"/>
  <c r="A1808" i="1"/>
  <c r="B1808" i="1"/>
  <c r="B1809" i="1"/>
  <c r="B1810" i="1"/>
  <c r="A1811" i="1"/>
  <c r="B1811" i="1"/>
  <c r="B1812" i="1"/>
  <c r="B1813" i="1"/>
  <c r="A1814" i="1"/>
  <c r="B1814" i="1"/>
  <c r="B1815" i="1"/>
  <c r="B1816" i="1"/>
  <c r="A1817" i="1"/>
  <c r="B1817" i="1"/>
  <c r="B1818" i="1"/>
  <c r="B1819" i="1"/>
  <c r="B1820" i="1"/>
  <c r="A1821" i="1"/>
  <c r="B1821" i="1"/>
  <c r="B1822" i="1"/>
  <c r="B1823" i="1"/>
  <c r="B1824" i="1"/>
  <c r="B1825" i="1"/>
  <c r="B1826" i="1"/>
  <c r="B1827" i="1"/>
  <c r="B1828" i="1"/>
  <c r="A1829" i="1"/>
  <c r="B1829" i="1"/>
  <c r="B1830" i="1"/>
  <c r="B1831" i="1"/>
  <c r="B1832" i="1"/>
  <c r="B1833" i="1"/>
  <c r="B1834" i="1"/>
  <c r="B1835" i="1"/>
  <c r="A1836" i="1"/>
  <c r="B1836" i="1"/>
  <c r="B1837" i="1"/>
  <c r="B1838" i="1"/>
  <c r="B1839" i="1"/>
  <c r="B1840" i="1"/>
  <c r="B1841" i="1"/>
  <c r="B1842" i="1"/>
  <c r="B1843" i="1"/>
  <c r="A1844" i="1"/>
  <c r="B1844" i="1"/>
  <c r="B1845" i="1"/>
  <c r="B1846" i="1"/>
  <c r="B1847" i="1"/>
  <c r="A1848" i="1"/>
  <c r="B1848" i="1"/>
  <c r="B1849" i="1"/>
  <c r="B1850" i="1"/>
  <c r="B1851" i="1"/>
  <c r="B1852" i="1"/>
  <c r="B1853" i="1"/>
  <c r="B1854" i="1"/>
  <c r="B1855" i="1"/>
  <c r="A1856" i="1"/>
  <c r="B1856" i="1"/>
  <c r="B1857" i="1"/>
  <c r="B1858" i="1"/>
  <c r="A1859" i="1"/>
  <c r="B1859" i="1"/>
  <c r="B1860" i="1"/>
  <c r="B1861" i="1"/>
  <c r="A1862" i="1"/>
  <c r="B1862" i="1"/>
  <c r="B1863" i="1"/>
  <c r="B1864" i="1"/>
  <c r="B1865" i="1"/>
  <c r="B1866" i="1"/>
  <c r="A1867" i="1"/>
  <c r="B1867" i="1"/>
  <c r="B1868" i="1"/>
  <c r="B1869" i="1"/>
  <c r="A1870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A1882" i="1"/>
  <c r="B1882" i="1"/>
  <c r="B1883" i="1"/>
  <c r="B1884" i="1"/>
  <c r="B1885" i="1"/>
  <c r="B1886" i="1"/>
  <c r="B1887" i="1"/>
  <c r="A1888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A1904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A1918" i="1"/>
  <c r="B1918" i="1"/>
  <c r="B1919" i="1"/>
  <c r="B1920" i="1"/>
  <c r="A1921" i="1"/>
  <c r="B1921" i="1"/>
  <c r="B1922" i="1"/>
  <c r="B1923" i="1"/>
  <c r="A1924" i="1"/>
  <c r="B1924" i="1"/>
  <c r="B1925" i="1"/>
  <c r="B1926" i="1"/>
  <c r="A1927" i="1"/>
  <c r="B1927" i="1"/>
  <c r="B1928" i="1"/>
  <c r="B1929" i="1"/>
  <c r="A1930" i="1"/>
  <c r="B1930" i="1"/>
  <c r="B1931" i="1"/>
  <c r="B1932" i="1"/>
  <c r="A1933" i="1"/>
  <c r="B1933" i="1"/>
  <c r="B1934" i="1"/>
  <c r="B1935" i="1"/>
  <c r="A1936" i="1"/>
  <c r="B1936" i="1"/>
  <c r="B1937" i="1"/>
  <c r="B1938" i="1"/>
  <c r="A1939" i="1"/>
  <c r="B1939" i="1"/>
  <c r="B1940" i="1"/>
  <c r="B1941" i="1"/>
  <c r="B1942" i="1"/>
  <c r="A1943" i="1"/>
  <c r="B1943" i="1"/>
  <c r="B1944" i="1"/>
  <c r="B1945" i="1"/>
  <c r="A1946" i="1"/>
  <c r="B1946" i="1"/>
  <c r="B1947" i="1"/>
  <c r="B1948" i="1"/>
  <c r="A1949" i="1"/>
  <c r="B1949" i="1"/>
  <c r="B1950" i="1"/>
  <c r="B1951" i="1"/>
  <c r="A1952" i="1"/>
  <c r="B1952" i="1"/>
  <c r="B1953" i="1"/>
  <c r="B1954" i="1"/>
  <c r="A1955" i="1"/>
  <c r="B1955" i="1"/>
  <c r="B1956" i="1"/>
  <c r="B1957" i="1"/>
  <c r="A1958" i="1"/>
  <c r="B1958" i="1"/>
  <c r="B1959" i="1"/>
  <c r="B1960" i="1"/>
  <c r="A1961" i="1"/>
  <c r="B1961" i="1"/>
  <c r="B1962" i="1"/>
  <c r="B1963" i="1"/>
  <c r="A1964" i="1"/>
  <c r="B1964" i="1"/>
  <c r="B1965" i="1"/>
  <c r="B1966" i="1"/>
  <c r="A1967" i="1"/>
  <c r="B1967" i="1"/>
  <c r="B1968" i="1"/>
  <c r="B1969" i="1"/>
  <c r="B1970" i="1"/>
  <c r="B1971" i="1"/>
  <c r="A1972" i="1"/>
  <c r="B1972" i="1"/>
  <c r="B1973" i="1"/>
  <c r="B1974" i="1"/>
  <c r="B1975" i="1"/>
  <c r="B1976" i="1"/>
  <c r="A1977" i="1"/>
  <c r="B1977" i="1"/>
  <c r="B1978" i="1"/>
  <c r="B1979" i="1"/>
  <c r="B1980" i="1"/>
  <c r="A1981" i="1"/>
  <c r="B1981" i="1"/>
  <c r="B1982" i="1"/>
  <c r="B1983" i="1"/>
  <c r="B1984" i="1"/>
  <c r="A1985" i="1"/>
  <c r="B1985" i="1"/>
  <c r="B1986" i="1"/>
  <c r="B1987" i="1"/>
  <c r="A1988" i="1"/>
  <c r="B1988" i="1"/>
  <c r="B1989" i="1"/>
  <c r="B1990" i="1"/>
  <c r="A1991" i="1"/>
  <c r="B1991" i="1"/>
  <c r="B1992" i="1"/>
  <c r="B1993" i="1"/>
  <c r="B1994" i="1"/>
  <c r="B1995" i="1"/>
  <c r="B1996" i="1"/>
  <c r="B1997" i="1"/>
  <c r="A1998" i="1"/>
  <c r="B1998" i="1"/>
  <c r="B1999" i="1"/>
  <c r="B2000" i="1"/>
  <c r="A2001" i="1"/>
  <c r="B2001" i="1"/>
  <c r="B2002" i="1"/>
  <c r="B2003" i="1"/>
  <c r="A2004" i="1"/>
  <c r="B2004" i="1"/>
  <c r="B2005" i="1"/>
  <c r="B2006" i="1"/>
  <c r="A2007" i="1"/>
  <c r="B2007" i="1"/>
  <c r="B2008" i="1"/>
  <c r="B2009" i="1"/>
  <c r="A2010" i="1"/>
  <c r="B2010" i="1"/>
  <c r="B2011" i="1"/>
  <c r="B2012" i="1"/>
  <c r="B2013" i="1"/>
  <c r="B2014" i="1"/>
  <c r="A2015" i="1"/>
  <c r="B2015" i="1"/>
  <c r="B2016" i="1"/>
  <c r="B2017" i="1"/>
  <c r="B2018" i="1"/>
  <c r="A2019" i="1"/>
  <c r="B2019" i="1"/>
  <c r="B2020" i="1"/>
  <c r="B2021" i="1"/>
  <c r="B2022" i="1"/>
  <c r="B2023" i="1"/>
  <c r="B2024" i="1"/>
  <c r="A2025" i="1"/>
  <c r="B2025" i="1"/>
  <c r="B2026" i="1"/>
  <c r="B2027" i="1"/>
  <c r="B2028" i="1"/>
  <c r="B2029" i="1"/>
  <c r="B2030" i="1"/>
  <c r="B2031" i="1"/>
  <c r="A2032" i="1"/>
  <c r="B2032" i="1"/>
  <c r="B2033" i="1"/>
  <c r="B2034" i="1"/>
  <c r="A2035" i="1"/>
  <c r="B2035" i="1"/>
  <c r="B2036" i="1"/>
  <c r="B2037" i="1"/>
  <c r="A2038" i="1"/>
  <c r="B2038" i="1"/>
  <c r="B2039" i="1"/>
  <c r="B2040" i="1"/>
  <c r="B2041" i="1"/>
  <c r="B2042" i="1"/>
  <c r="A2043" i="1"/>
  <c r="B2043" i="1"/>
  <c r="B2044" i="1"/>
  <c r="B2045" i="1"/>
  <c r="A2046" i="1"/>
  <c r="B2046" i="1"/>
  <c r="B2047" i="1"/>
  <c r="B2048" i="1"/>
  <c r="B2049" i="1"/>
  <c r="B2050" i="1"/>
  <c r="A2051" i="1"/>
  <c r="B2051" i="1"/>
  <c r="B2052" i="1"/>
  <c r="B2053" i="1"/>
  <c r="B2054" i="1"/>
  <c r="B2055" i="1"/>
  <c r="B2056" i="1"/>
  <c r="B2057" i="1"/>
  <c r="B2058" i="1"/>
  <c r="B2059" i="1"/>
  <c r="A2060" i="1"/>
  <c r="B2060" i="1"/>
  <c r="B2061" i="1"/>
  <c r="B2062" i="1"/>
  <c r="B2063" i="1"/>
  <c r="B2064" i="1"/>
  <c r="B2065" i="1"/>
  <c r="A2066" i="1"/>
  <c r="B2066" i="1"/>
  <c r="B2067" i="1"/>
  <c r="B2068" i="1"/>
  <c r="A2069" i="1"/>
  <c r="B2069" i="1"/>
  <c r="B2070" i="1"/>
  <c r="B2071" i="1"/>
  <c r="A2072" i="1"/>
  <c r="B2072" i="1"/>
  <c r="B2073" i="1"/>
  <c r="B2074" i="1"/>
  <c r="A2075" i="1"/>
  <c r="B2075" i="1"/>
  <c r="B2076" i="1"/>
  <c r="B2077" i="1"/>
  <c r="A2078" i="1"/>
  <c r="B2078" i="1"/>
  <c r="B2079" i="1"/>
  <c r="B2080" i="1"/>
  <c r="B2081" i="1"/>
  <c r="B2082" i="1"/>
  <c r="A2083" i="1"/>
  <c r="B2083" i="1"/>
  <c r="B2084" i="1"/>
  <c r="B2085" i="1"/>
  <c r="A2086" i="1"/>
  <c r="B2086" i="1"/>
  <c r="B2087" i="1"/>
  <c r="B2088" i="1"/>
  <c r="A2089" i="1"/>
  <c r="B2089" i="1"/>
  <c r="B2090" i="1"/>
  <c r="B2091" i="1"/>
  <c r="B2092" i="1"/>
  <c r="B2093" i="1"/>
  <c r="A2094" i="1"/>
  <c r="B2094" i="1"/>
  <c r="B2095" i="1"/>
  <c r="B2096" i="1"/>
  <c r="A2097" i="1"/>
  <c r="B2097" i="1"/>
  <c r="B2098" i="1"/>
  <c r="B2099" i="1"/>
  <c r="A2100" i="1"/>
  <c r="B2100" i="1"/>
  <c r="B2101" i="1"/>
  <c r="B2102" i="1"/>
  <c r="A2103" i="1"/>
  <c r="B2103" i="1"/>
  <c r="B2104" i="1"/>
  <c r="B2105" i="1"/>
  <c r="B2106" i="1"/>
  <c r="B2107" i="1"/>
  <c r="B2108" i="1"/>
  <c r="A2109" i="1"/>
  <c r="B2109" i="1"/>
  <c r="B2110" i="1"/>
  <c r="B2111" i="1"/>
  <c r="B2112" i="1"/>
  <c r="A2113" i="1"/>
  <c r="B2113" i="1"/>
  <c r="B2114" i="1"/>
  <c r="B2115" i="1"/>
  <c r="B2116" i="1"/>
  <c r="B2117" i="1"/>
  <c r="B2118" i="1"/>
  <c r="A2119" i="1"/>
  <c r="B2119" i="1"/>
  <c r="B2120" i="1"/>
  <c r="B2121" i="1"/>
  <c r="A2122" i="1"/>
  <c r="B2122" i="1"/>
  <c r="B2123" i="1"/>
  <c r="B2124" i="1"/>
  <c r="B2125" i="1"/>
  <c r="B2126" i="1"/>
  <c r="B2127" i="1"/>
  <c r="B2128" i="1"/>
  <c r="A2129" i="1"/>
  <c r="B2129" i="1"/>
  <c r="B2130" i="1"/>
  <c r="B2131" i="1"/>
  <c r="A2132" i="1"/>
  <c r="B2132" i="1"/>
  <c r="B2133" i="1"/>
  <c r="B2134" i="1"/>
  <c r="B2135" i="1"/>
  <c r="A2136" i="1"/>
  <c r="B2136" i="1"/>
  <c r="B2137" i="1"/>
  <c r="B2138" i="1"/>
  <c r="A2139" i="1"/>
  <c r="B2139" i="1"/>
  <c r="B2140" i="1"/>
  <c r="B2141" i="1"/>
  <c r="A2142" i="1"/>
  <c r="B2142" i="1"/>
  <c r="B2143" i="1"/>
  <c r="B2144" i="1"/>
  <c r="A2145" i="1"/>
  <c r="B2145" i="1"/>
  <c r="B2146" i="1"/>
  <c r="B2147" i="1"/>
  <c r="B2148" i="1"/>
  <c r="A2149" i="1"/>
  <c r="B2149" i="1"/>
  <c r="B2150" i="1"/>
  <c r="B2151" i="1"/>
  <c r="A2152" i="1"/>
  <c r="B2152" i="1"/>
  <c r="B2153" i="1"/>
  <c r="B2154" i="1"/>
  <c r="A2155" i="1"/>
  <c r="B2155" i="1"/>
  <c r="B2156" i="1"/>
  <c r="B2157" i="1"/>
  <c r="A2158" i="1"/>
  <c r="B2158" i="1"/>
  <c r="B2159" i="1"/>
  <c r="B2160" i="1"/>
  <c r="B2161" i="1"/>
  <c r="A2162" i="1"/>
  <c r="B2162" i="1"/>
  <c r="B2163" i="1"/>
  <c r="B2164" i="1"/>
  <c r="B2165" i="1"/>
  <c r="A2166" i="1"/>
  <c r="B2166" i="1"/>
  <c r="B2167" i="1"/>
  <c r="B2168" i="1"/>
  <c r="A2169" i="1"/>
  <c r="B2169" i="1"/>
  <c r="B2170" i="1"/>
  <c r="B2171" i="1"/>
  <c r="B2172" i="1"/>
  <c r="B2173" i="1"/>
  <c r="B2174" i="1"/>
  <c r="B2175" i="1"/>
  <c r="A2176" i="1"/>
  <c r="B2176" i="1"/>
  <c r="B2177" i="1"/>
  <c r="B2178" i="1"/>
  <c r="A2179" i="1"/>
  <c r="B2179" i="1"/>
  <c r="B2180" i="1"/>
  <c r="B2181" i="1"/>
  <c r="B2182" i="1"/>
  <c r="A2183" i="1"/>
  <c r="B2183" i="1"/>
  <c r="B2184" i="1"/>
  <c r="B2185" i="1"/>
  <c r="A2186" i="1"/>
  <c r="B2186" i="1"/>
  <c r="B2187" i="1"/>
  <c r="B2188" i="1"/>
  <c r="A2189" i="1"/>
  <c r="B2189" i="1"/>
  <c r="B2190" i="1"/>
  <c r="B2191" i="1"/>
  <c r="A2192" i="1"/>
  <c r="B2192" i="1"/>
  <c r="B2193" i="1"/>
  <c r="B2194" i="1"/>
  <c r="B2195" i="1"/>
  <c r="B2196" i="1"/>
  <c r="B2197" i="1"/>
  <c r="A2198" i="1"/>
  <c r="B2198" i="1"/>
  <c r="B2199" i="1"/>
  <c r="B2200" i="1"/>
  <c r="B2201" i="1"/>
  <c r="A2202" i="1"/>
  <c r="B2202" i="1"/>
  <c r="B2203" i="1"/>
  <c r="B2204" i="1"/>
  <c r="A2205" i="1"/>
  <c r="B2205" i="1"/>
  <c r="B2206" i="1"/>
  <c r="B2207" i="1"/>
  <c r="A2208" i="1"/>
  <c r="B2208" i="1"/>
  <c r="B2209" i="1"/>
  <c r="B2210" i="1"/>
  <c r="A2211" i="1"/>
  <c r="B2211" i="1"/>
  <c r="B2212" i="1"/>
  <c r="B2213" i="1"/>
  <c r="A2214" i="1"/>
  <c r="B2214" i="1"/>
  <c r="B2215" i="1"/>
  <c r="B2216" i="1"/>
  <c r="A2217" i="1"/>
  <c r="B2217" i="1"/>
  <c r="B2218" i="1"/>
  <c r="B2219" i="1"/>
  <c r="A2220" i="1"/>
  <c r="B2220" i="1"/>
  <c r="B2221" i="1"/>
  <c r="B2222" i="1"/>
  <c r="A2223" i="1"/>
  <c r="B2223" i="1"/>
  <c r="B2224" i="1"/>
  <c r="B2225" i="1"/>
  <c r="B2226" i="1"/>
  <c r="A2227" i="1"/>
  <c r="B2227" i="1"/>
  <c r="B2228" i="1"/>
  <c r="B2229" i="1"/>
  <c r="A2230" i="1"/>
  <c r="B2230" i="1"/>
  <c r="B2231" i="1"/>
  <c r="B2232" i="1"/>
  <c r="B2233" i="1"/>
  <c r="B2234" i="1"/>
  <c r="A2235" i="1"/>
  <c r="B2235" i="1"/>
  <c r="B2236" i="1"/>
  <c r="B2237" i="1"/>
  <c r="A2238" i="1"/>
  <c r="B2238" i="1"/>
  <c r="B2239" i="1"/>
  <c r="B2240" i="1"/>
  <c r="A2241" i="1"/>
  <c r="B2241" i="1"/>
  <c r="B2242" i="1"/>
  <c r="B2243" i="1"/>
  <c r="A2244" i="1"/>
  <c r="B2244" i="1"/>
  <c r="B2245" i="1"/>
  <c r="B2246" i="1"/>
  <c r="B2247" i="1"/>
  <c r="B2248" i="1"/>
  <c r="A2249" i="1"/>
  <c r="B2249" i="1"/>
  <c r="B2250" i="1"/>
  <c r="B2251" i="1"/>
  <c r="B2252" i="1"/>
  <c r="B2253" i="1"/>
  <c r="A2254" i="1"/>
  <c r="B2254" i="1"/>
  <c r="B2255" i="1"/>
  <c r="B2256" i="1"/>
  <c r="A2257" i="1"/>
  <c r="B2257" i="1"/>
  <c r="B2258" i="1"/>
  <c r="B2259" i="1"/>
  <c r="A2260" i="1"/>
  <c r="B2260" i="1"/>
  <c r="B2261" i="1"/>
  <c r="B2262" i="1"/>
  <c r="A2263" i="1"/>
  <c r="B2263" i="1"/>
  <c r="B2264" i="1"/>
  <c r="B2265" i="1"/>
  <c r="A2266" i="1"/>
  <c r="B2266" i="1"/>
  <c r="B2267" i="1"/>
  <c r="B2268" i="1"/>
  <c r="A2269" i="1"/>
  <c r="B2269" i="1"/>
  <c r="B2270" i="1"/>
  <c r="B2271" i="1"/>
  <c r="B2272" i="1"/>
  <c r="A2273" i="1"/>
  <c r="B2273" i="1"/>
  <c r="B2274" i="1"/>
  <c r="B2275" i="1"/>
  <c r="B2276" i="1"/>
  <c r="A2277" i="1"/>
  <c r="B2277" i="1"/>
  <c r="B2278" i="1"/>
  <c r="B2279" i="1"/>
  <c r="A2280" i="1"/>
  <c r="B2280" i="1"/>
  <c r="B2281" i="1"/>
  <c r="B2282" i="1"/>
  <c r="A2283" i="1"/>
  <c r="B2283" i="1"/>
  <c r="B2284" i="1"/>
  <c r="B2285" i="1"/>
  <c r="A2286" i="1"/>
  <c r="B2286" i="1"/>
  <c r="B2287" i="1"/>
  <c r="B2288" i="1"/>
  <c r="A2289" i="1"/>
  <c r="B2289" i="1"/>
  <c r="B2290" i="1"/>
  <c r="B2291" i="1"/>
  <c r="A2292" i="1"/>
  <c r="B2292" i="1"/>
  <c r="B2293" i="1"/>
  <c r="B2294" i="1"/>
  <c r="B2295" i="1"/>
  <c r="A2296" i="1"/>
  <c r="B2296" i="1"/>
  <c r="B2297" i="1"/>
  <c r="B2298" i="1"/>
  <c r="B2299" i="1"/>
  <c r="B2300" i="1"/>
  <c r="A2301" i="1"/>
  <c r="B2301" i="1"/>
  <c r="B2302" i="1"/>
  <c r="B2303" i="1"/>
  <c r="A2304" i="1"/>
  <c r="B2304" i="1"/>
  <c r="B2305" i="1"/>
  <c r="B2306" i="1"/>
  <c r="A2307" i="1"/>
  <c r="B2307" i="1"/>
  <c r="B2308" i="1"/>
  <c r="B2309" i="1"/>
  <c r="A2310" i="1"/>
  <c r="B2310" i="1"/>
  <c r="B2311" i="1"/>
  <c r="B2312" i="1"/>
  <c r="A2313" i="1"/>
  <c r="B2313" i="1"/>
  <c r="B2314" i="1"/>
  <c r="B2315" i="1"/>
  <c r="A2316" i="1"/>
  <c r="B2316" i="1"/>
  <c r="B2317" i="1"/>
  <c r="B2318" i="1"/>
  <c r="A2319" i="1"/>
  <c r="B2319" i="1"/>
  <c r="B2320" i="1"/>
  <c r="B2321" i="1"/>
  <c r="A2322" i="1"/>
  <c r="B2322" i="1"/>
  <c r="B2323" i="1"/>
  <c r="B2324" i="1"/>
  <c r="A2325" i="1"/>
  <c r="B2325" i="1"/>
  <c r="B2326" i="1"/>
  <c r="B2327" i="1"/>
  <c r="B2328" i="1"/>
  <c r="B2329" i="1"/>
  <c r="B2330" i="1"/>
  <c r="A2331" i="1"/>
  <c r="B2331" i="1"/>
  <c r="B2332" i="1"/>
  <c r="B2333" i="1"/>
  <c r="A2334" i="1"/>
  <c r="B2334" i="1"/>
  <c r="B2335" i="1"/>
  <c r="B2336" i="1"/>
  <c r="B2337" i="1"/>
  <c r="B2338" i="1"/>
  <c r="B2339" i="1"/>
  <c r="B2340" i="1"/>
  <c r="A2341" i="1"/>
  <c r="B2341" i="1"/>
  <c r="B2342" i="1"/>
  <c r="B2343" i="1"/>
  <c r="A2344" i="1"/>
  <c r="B2344" i="1"/>
  <c r="B2345" i="1"/>
  <c r="B2346" i="1"/>
  <c r="A2347" i="1"/>
  <c r="B2347" i="1"/>
  <c r="B2348" i="1"/>
  <c r="B2349" i="1"/>
  <c r="B2350" i="1"/>
  <c r="A2351" i="1"/>
  <c r="B2351" i="1"/>
  <c r="B2352" i="1"/>
  <c r="B2353" i="1"/>
  <c r="A2354" i="1"/>
  <c r="B2354" i="1"/>
  <c r="B2355" i="1"/>
  <c r="B2356" i="1"/>
  <c r="B2357" i="1"/>
  <c r="A2358" i="1"/>
  <c r="B2358" i="1"/>
  <c r="B2359" i="1"/>
  <c r="B2360" i="1"/>
  <c r="A2361" i="1"/>
  <c r="B2361" i="1"/>
  <c r="B2362" i="1"/>
  <c r="B2363" i="1"/>
  <c r="A2364" i="1"/>
  <c r="B2364" i="1"/>
  <c r="B2365" i="1"/>
  <c r="B2366" i="1"/>
  <c r="A2367" i="1"/>
  <c r="B2367" i="1"/>
  <c r="B2368" i="1"/>
  <c r="B2369" i="1"/>
  <c r="B2370" i="1"/>
  <c r="B2371" i="1"/>
  <c r="B2372" i="1"/>
  <c r="B2373" i="1"/>
  <c r="B2374" i="1"/>
  <c r="B2375" i="1"/>
  <c r="A2376" i="1"/>
  <c r="B2376" i="1"/>
  <c r="B2377" i="1"/>
  <c r="B2378" i="1"/>
  <c r="B2379" i="1"/>
  <c r="B2380" i="1"/>
  <c r="B2381" i="1"/>
  <c r="A2382" i="1"/>
  <c r="B2382" i="1"/>
  <c r="B2383" i="1"/>
  <c r="B2384" i="1"/>
  <c r="A2385" i="1"/>
  <c r="B2385" i="1"/>
  <c r="B2386" i="1"/>
  <c r="B2387" i="1"/>
  <c r="B2388" i="1"/>
  <c r="A2389" i="1"/>
  <c r="B2389" i="1"/>
  <c r="B2390" i="1"/>
  <c r="B2391" i="1"/>
  <c r="A2392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A2407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A2431" i="1"/>
  <c r="B2431" i="1"/>
  <c r="B2432" i="1"/>
  <c r="B2433" i="1"/>
  <c r="B2434" i="1"/>
  <c r="B2435" i="1"/>
  <c r="B2436" i="1"/>
  <c r="B2437" i="1"/>
  <c r="B2438" i="1"/>
  <c r="B2439" i="1"/>
  <c r="A2440" i="1"/>
  <c r="B2440" i="1"/>
  <c r="B2441" i="1"/>
  <c r="B2442" i="1"/>
  <c r="B2443" i="1"/>
  <c r="B2444" i="1"/>
  <c r="B2445" i="1"/>
  <c r="A2446" i="1"/>
  <c r="B2446" i="1"/>
  <c r="B2447" i="1"/>
  <c r="B2448" i="1"/>
  <c r="A2449" i="1"/>
  <c r="B2449" i="1"/>
  <c r="B2450" i="1"/>
  <c r="B2451" i="1"/>
  <c r="A2452" i="1"/>
  <c r="B2452" i="1"/>
  <c r="B2453" i="1"/>
  <c r="B2454" i="1"/>
  <c r="B2455" i="1"/>
  <c r="B2456" i="1"/>
  <c r="B2457" i="1"/>
  <c r="A2458" i="1"/>
  <c r="B2458" i="1"/>
  <c r="B2459" i="1"/>
  <c r="B2460" i="1"/>
  <c r="B2461" i="1"/>
  <c r="B2462" i="1"/>
  <c r="B2463" i="1"/>
  <c r="B2464" i="1"/>
  <c r="B2465" i="1"/>
  <c r="A2466" i="1"/>
  <c r="B2466" i="1"/>
  <c r="B2467" i="1"/>
  <c r="B2468" i="1"/>
  <c r="B2469" i="1"/>
  <c r="A2470" i="1"/>
  <c r="B2470" i="1"/>
  <c r="B2471" i="1"/>
  <c r="B2472" i="1"/>
  <c r="A2473" i="1"/>
  <c r="B2473" i="1"/>
  <c r="B2474" i="1"/>
  <c r="B2475" i="1"/>
  <c r="B2476" i="1"/>
  <c r="B2477" i="1"/>
  <c r="A2478" i="1"/>
  <c r="B2478" i="1"/>
  <c r="B2479" i="1"/>
  <c r="B2480" i="1"/>
  <c r="B2481" i="1"/>
  <c r="A2482" i="1"/>
  <c r="B2482" i="1"/>
  <c r="B2483" i="1"/>
  <c r="B2484" i="1"/>
  <c r="B2485" i="1"/>
  <c r="A2486" i="1"/>
  <c r="B2486" i="1"/>
  <c r="B2487" i="1"/>
  <c r="B2488" i="1"/>
  <c r="A2489" i="1"/>
  <c r="B2489" i="1"/>
  <c r="B2490" i="1"/>
  <c r="B2491" i="1"/>
  <c r="A2492" i="1"/>
  <c r="B2492" i="1"/>
  <c r="B2493" i="1"/>
  <c r="B2494" i="1"/>
  <c r="B2495" i="1"/>
  <c r="B2496" i="1"/>
  <c r="B2497" i="1"/>
  <c r="B2498" i="1"/>
  <c r="A2499" i="1"/>
  <c r="B2499" i="1"/>
  <c r="B2500" i="1"/>
  <c r="B2501" i="1"/>
  <c r="A2502" i="1"/>
  <c r="B2502" i="1"/>
  <c r="B2503" i="1"/>
  <c r="B2504" i="1"/>
  <c r="B2505" i="1"/>
  <c r="A2506" i="1"/>
  <c r="B2506" i="1"/>
  <c r="B2507" i="1"/>
  <c r="B2508" i="1"/>
  <c r="B2509" i="1"/>
  <c r="B2510" i="1"/>
  <c r="B2511" i="1"/>
  <c r="A2512" i="1"/>
  <c r="B2512" i="1"/>
  <c r="B2513" i="1"/>
  <c r="B2514" i="1"/>
  <c r="B2515" i="1"/>
  <c r="B2516" i="1"/>
  <c r="B2517" i="1"/>
  <c r="B2518" i="1"/>
  <c r="A2519" i="1"/>
  <c r="B2519" i="1"/>
  <c r="B2520" i="1"/>
  <c r="B2521" i="1"/>
  <c r="A2522" i="1"/>
  <c r="B2522" i="1"/>
  <c r="B2523" i="1"/>
  <c r="B2524" i="1"/>
  <c r="A2525" i="1"/>
  <c r="B2525" i="1"/>
  <c r="B2526" i="1"/>
  <c r="B2527" i="1"/>
  <c r="B2528" i="1"/>
  <c r="A2529" i="1"/>
  <c r="B2529" i="1"/>
  <c r="B2530" i="1"/>
  <c r="B2531" i="1"/>
  <c r="A2532" i="1"/>
  <c r="B2532" i="1"/>
  <c r="B2533" i="1"/>
  <c r="B2534" i="1"/>
  <c r="B2535" i="1"/>
  <c r="A2536" i="1"/>
  <c r="B2536" i="1"/>
  <c r="B2537" i="1"/>
  <c r="B2538" i="1"/>
  <c r="B2539" i="1"/>
  <c r="A2540" i="1"/>
  <c r="B2540" i="1"/>
  <c r="B2541" i="1"/>
  <c r="B2542" i="1"/>
  <c r="A2543" i="1"/>
  <c r="B2543" i="1"/>
  <c r="B2544" i="1"/>
  <c r="B2545" i="1"/>
  <c r="B2546" i="1"/>
  <c r="A2547" i="1"/>
  <c r="B2547" i="1"/>
  <c r="B2548" i="1"/>
  <c r="B2549" i="1"/>
  <c r="A2550" i="1"/>
  <c r="B2550" i="1"/>
  <c r="B2551" i="1"/>
  <c r="B2552" i="1"/>
  <c r="A2553" i="1"/>
  <c r="B2553" i="1"/>
  <c r="B2554" i="1"/>
  <c r="B2555" i="1"/>
  <c r="B2556" i="1"/>
  <c r="B2557" i="1"/>
  <c r="B2558" i="1"/>
  <c r="B2559" i="1"/>
  <c r="B2560" i="1"/>
  <c r="B2561" i="1"/>
  <c r="A2562" i="1"/>
  <c r="B2562" i="1"/>
  <c r="B2563" i="1"/>
  <c r="B2564" i="1"/>
  <c r="A2565" i="1"/>
  <c r="B2565" i="1"/>
  <c r="B2566" i="1"/>
  <c r="B2567" i="1"/>
  <c r="A2568" i="1"/>
  <c r="B2568" i="1"/>
  <c r="B2569" i="1"/>
  <c r="B2570" i="1"/>
  <c r="A2571" i="1"/>
  <c r="B2571" i="1"/>
  <c r="B2572" i="1"/>
  <c r="B2573" i="1"/>
  <c r="B2574" i="1"/>
  <c r="A2575" i="1"/>
  <c r="B2575" i="1"/>
  <c r="B2576" i="1"/>
  <c r="B2577" i="1"/>
  <c r="A2578" i="1"/>
  <c r="B2578" i="1"/>
  <c r="B2579" i="1"/>
  <c r="B2580" i="1"/>
  <c r="A2581" i="1"/>
  <c r="B2581" i="1"/>
  <c r="B2582" i="1"/>
  <c r="B2583" i="1"/>
  <c r="B2584" i="1"/>
  <c r="A2585" i="1"/>
  <c r="B2585" i="1"/>
  <c r="B2586" i="1"/>
  <c r="B2587" i="1"/>
  <c r="A2588" i="1"/>
  <c r="B2588" i="1"/>
  <c r="B2589" i="1"/>
  <c r="B2590" i="1"/>
  <c r="A2591" i="1"/>
  <c r="B2591" i="1"/>
  <c r="B2592" i="1"/>
  <c r="B2593" i="1"/>
  <c r="A2594" i="1"/>
  <c r="B2594" i="1"/>
  <c r="B2595" i="1"/>
  <c r="B2596" i="1"/>
  <c r="A2597" i="1"/>
  <c r="B2597" i="1"/>
  <c r="B2598" i="1"/>
  <c r="B2599" i="1"/>
  <c r="B2600" i="1"/>
  <c r="A2601" i="1"/>
  <c r="B2601" i="1"/>
  <c r="B2602" i="1"/>
  <c r="B2603" i="1"/>
  <c r="B2604" i="1"/>
  <c r="A2605" i="1"/>
  <c r="B2605" i="1"/>
  <c r="B2606" i="1"/>
  <c r="B2607" i="1"/>
  <c r="A2608" i="1"/>
  <c r="B2608" i="1"/>
  <c r="B2609" i="1"/>
  <c r="B2610" i="1"/>
  <c r="A2611" i="1"/>
  <c r="B2611" i="1"/>
  <c r="B2612" i="1"/>
  <c r="B2613" i="1"/>
  <c r="B2614" i="1"/>
  <c r="B2615" i="1"/>
  <c r="B2616" i="1"/>
  <c r="B2617" i="1"/>
  <c r="B2618" i="1"/>
  <c r="B2619" i="1"/>
  <c r="B2620" i="1"/>
  <c r="A2621" i="1"/>
  <c r="B2621" i="1"/>
  <c r="B2622" i="1"/>
  <c r="B2623" i="1"/>
  <c r="B2624" i="1"/>
  <c r="B2625" i="1"/>
  <c r="B2626" i="1"/>
  <c r="B2627" i="1"/>
  <c r="B2628" i="1"/>
  <c r="B2629" i="1"/>
  <c r="B2630" i="1"/>
  <c r="A2631" i="1"/>
  <c r="B2631" i="1"/>
  <c r="B2632" i="1"/>
  <c r="B2633" i="1"/>
  <c r="A2634" i="1"/>
  <c r="B2634" i="1"/>
  <c r="B2635" i="1"/>
  <c r="B2636" i="1"/>
  <c r="B2637" i="1"/>
  <c r="A2638" i="1"/>
  <c r="B2638" i="1"/>
  <c r="B2639" i="1"/>
  <c r="B2640" i="1"/>
  <c r="B2641" i="1"/>
  <c r="A2642" i="1"/>
  <c r="B2642" i="1"/>
  <c r="B2643" i="1"/>
  <c r="B2644" i="1"/>
  <c r="A2645" i="1"/>
  <c r="B2645" i="1"/>
  <c r="B2646" i="1"/>
  <c r="B2647" i="1"/>
  <c r="A2648" i="1"/>
  <c r="B2648" i="1"/>
  <c r="B2649" i="1"/>
  <c r="B2650" i="1"/>
  <c r="B2651" i="1"/>
  <c r="A2652" i="1"/>
  <c r="B2652" i="1"/>
  <c r="B2653" i="1"/>
  <c r="B2654" i="1"/>
  <c r="B2655" i="1"/>
  <c r="B2656" i="1"/>
  <c r="B2657" i="1"/>
  <c r="B2658" i="1"/>
  <c r="A2659" i="1"/>
  <c r="B2659" i="1"/>
  <c r="B2660" i="1"/>
  <c r="B2661" i="1"/>
  <c r="A2662" i="1"/>
  <c r="B2662" i="1"/>
  <c r="B2663" i="1"/>
  <c r="B2664" i="1"/>
  <c r="A2665" i="1"/>
  <c r="B2665" i="1"/>
  <c r="B2666" i="1"/>
  <c r="B2667" i="1"/>
  <c r="B2668" i="1"/>
  <c r="A2669" i="1"/>
  <c r="B2669" i="1"/>
  <c r="B2670" i="1"/>
  <c r="B2671" i="1"/>
  <c r="B2672" i="1"/>
  <c r="A2673" i="1"/>
  <c r="B2673" i="1"/>
  <c r="B2674" i="1"/>
  <c r="B2675" i="1"/>
  <c r="A2676" i="1"/>
  <c r="B2676" i="1"/>
  <c r="B2677" i="1"/>
  <c r="B2678" i="1"/>
  <c r="A2679" i="1"/>
  <c r="B2679" i="1"/>
  <c r="B2680" i="1"/>
  <c r="B2681" i="1"/>
  <c r="B2682" i="1"/>
  <c r="A2683" i="1"/>
  <c r="B2683" i="1"/>
  <c r="B2684" i="1"/>
  <c r="B2685" i="1"/>
  <c r="B2686" i="1"/>
  <c r="A2687" i="1"/>
  <c r="B2687" i="1"/>
  <c r="B2688" i="1"/>
  <c r="B2689" i="1"/>
  <c r="B2690" i="1"/>
  <c r="A2691" i="1"/>
  <c r="B2691" i="1"/>
  <c r="B2692" i="1"/>
  <c r="B2693" i="1"/>
  <c r="A2694" i="1"/>
  <c r="B2694" i="1"/>
  <c r="B2695" i="1"/>
  <c r="B2696" i="1"/>
  <c r="A2697" i="1"/>
  <c r="B2697" i="1"/>
  <c r="B2698" i="1"/>
  <c r="B2699" i="1"/>
  <c r="A2700" i="1"/>
  <c r="B2700" i="1"/>
  <c r="B2701" i="1"/>
  <c r="B2702" i="1"/>
  <c r="B2703" i="1"/>
  <c r="B2704" i="1"/>
  <c r="A2705" i="1"/>
  <c r="B2705" i="1"/>
  <c r="B2706" i="1"/>
  <c r="B2707" i="1"/>
  <c r="A2708" i="1"/>
  <c r="B2708" i="1"/>
  <c r="B2709" i="1"/>
  <c r="B2710" i="1"/>
  <c r="A2711" i="1"/>
  <c r="B2711" i="1"/>
  <c r="B2712" i="1"/>
  <c r="B2713" i="1"/>
  <c r="A2714" i="1"/>
  <c r="B2714" i="1"/>
  <c r="B2715" i="1"/>
  <c r="B2716" i="1"/>
  <c r="A2717" i="1"/>
  <c r="B2717" i="1"/>
  <c r="B2718" i="1"/>
  <c r="B2719" i="1"/>
  <c r="A2720" i="1"/>
  <c r="B2720" i="1"/>
  <c r="B2721" i="1"/>
  <c r="B2722" i="1"/>
  <c r="A2723" i="1"/>
  <c r="B2723" i="1"/>
  <c r="B2724" i="1"/>
  <c r="B2725" i="1"/>
  <c r="A2726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A2759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A2777" i="1"/>
  <c r="B2777" i="1"/>
  <c r="B2778" i="1"/>
  <c r="B2779" i="1"/>
  <c r="A2780" i="1"/>
  <c r="B2780" i="1"/>
  <c r="B2781" i="1"/>
  <c r="B2782" i="1"/>
  <c r="B2783" i="1"/>
  <c r="B2784" i="1"/>
  <c r="B2785" i="1"/>
  <c r="B2786" i="1"/>
  <c r="B2787" i="1"/>
  <c r="B2788" i="1"/>
  <c r="B2789" i="1"/>
  <c r="A2790" i="1"/>
  <c r="B2790" i="1"/>
  <c r="B2791" i="1"/>
  <c r="B2792" i="1"/>
  <c r="B2793" i="1"/>
  <c r="A2794" i="1"/>
  <c r="B2794" i="1"/>
  <c r="B2795" i="1"/>
  <c r="B2796" i="1"/>
  <c r="B2797" i="1"/>
  <c r="A2798" i="1"/>
  <c r="B2798" i="1"/>
  <c r="B2799" i="1"/>
  <c r="B2800" i="1"/>
  <c r="A2801" i="1"/>
  <c r="B2801" i="1"/>
  <c r="B2802" i="1"/>
  <c r="B2803" i="1"/>
  <c r="A2804" i="1"/>
  <c r="B2804" i="1"/>
  <c r="B2805" i="1"/>
  <c r="B2806" i="1"/>
  <c r="A2807" i="1"/>
  <c r="B2807" i="1"/>
  <c r="B2808" i="1"/>
  <c r="B2809" i="1"/>
  <c r="A2810" i="1"/>
  <c r="B2810" i="1"/>
  <c r="B2811" i="1"/>
  <c r="B2812" i="1"/>
  <c r="A2813" i="1"/>
  <c r="B2813" i="1"/>
  <c r="B2814" i="1"/>
  <c r="B2815" i="1"/>
  <c r="B2816" i="1"/>
  <c r="B2817" i="1"/>
  <c r="A2818" i="1"/>
  <c r="B2818" i="1"/>
  <c r="B2819" i="1"/>
  <c r="B2820" i="1"/>
  <c r="B2821" i="1"/>
  <c r="A2822" i="1"/>
  <c r="B2822" i="1"/>
  <c r="B2823" i="1"/>
  <c r="B2824" i="1"/>
  <c r="A2825" i="1"/>
  <c r="B2825" i="1"/>
  <c r="B2826" i="1"/>
  <c r="B2827" i="1"/>
  <c r="A2828" i="1"/>
  <c r="B2828" i="1"/>
  <c r="B2829" i="1"/>
  <c r="B2830" i="1"/>
  <c r="A2831" i="1"/>
  <c r="B2831" i="1"/>
  <c r="B2832" i="1"/>
  <c r="B2833" i="1"/>
  <c r="A2834" i="1"/>
  <c r="B2834" i="1"/>
  <c r="B2835" i="1"/>
  <c r="B2836" i="1"/>
  <c r="A2837" i="1"/>
  <c r="B2837" i="1"/>
  <c r="B2838" i="1"/>
  <c r="B2839" i="1"/>
  <c r="A2840" i="1"/>
  <c r="B2840" i="1"/>
  <c r="B2841" i="1"/>
  <c r="B2842" i="1"/>
  <c r="A2843" i="1"/>
  <c r="B2843" i="1"/>
  <c r="B2844" i="1"/>
  <c r="B2845" i="1"/>
  <c r="B2846" i="1"/>
  <c r="A2847" i="1"/>
  <c r="B2847" i="1"/>
  <c r="B2848" i="1"/>
  <c r="B2849" i="1"/>
  <c r="B2850" i="1"/>
  <c r="B2851" i="1"/>
  <c r="B2852" i="1"/>
  <c r="B2853" i="1"/>
  <c r="A2854" i="1"/>
  <c r="B2854" i="1"/>
  <c r="B2855" i="1"/>
  <c r="B2856" i="1"/>
  <c r="B2857" i="1"/>
  <c r="A2858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</calcChain>
</file>

<file path=xl/sharedStrings.xml><?xml version="1.0" encoding="utf-8"?>
<sst xmlns="http://schemas.openxmlformats.org/spreadsheetml/2006/main" count="19" uniqueCount="19">
  <si>
    <t>Produced:</t>
  </si>
  <si>
    <t>Mois(C):</t>
  </si>
  <si>
    <t>Annee(C):</t>
  </si>
  <si>
    <t>BUREAU(C):</t>
  </si>
  <si>
    <t>SYSCOM(C):</t>
  </si>
  <si>
    <t>FLUX(C):</t>
  </si>
  <si>
    <t>PROVDEST(C):</t>
  </si>
  <si>
    <t>PRODUIT(B):</t>
  </si>
  <si>
    <t>Y Axis (1)</t>
  </si>
  <si>
    <t>PARTENAIRE(L):</t>
  </si>
  <si>
    <t>Y Axis (2)</t>
  </si>
  <si>
    <t>INDICATORS(L):</t>
  </si>
  <si>
    <t>X Axis (1)</t>
  </si>
  <si>
    <t>Source: Copyright © 1958 - 2003 European Community, Eurostat. All Rights Reserved. Comext: k0000328.txt  Extracted: 19/03/2015</t>
  </si>
  <si>
    <t>Code Produit SH6</t>
  </si>
  <si>
    <t>Produit/Territoire</t>
  </si>
  <si>
    <t>Poids net (KG)</t>
  </si>
  <si>
    <t>Valeur (FCFA)</t>
  </si>
  <si>
    <t>Table generation of Extraction from Plan "k0000326,mtx"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</si>
</sst>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8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68" fontId="16" fillId="0" borderId="0" xfId="1" applyNumberFormat="1" applyFont="1"/>
    <xf numFmtId="168" fontId="0" fillId="0" borderId="0" xfId="1" applyNumberFormat="1" applyFont="1"/>
    <xf numFmtId="0" fontId="16" fillId="0" borderId="10" xfId="0" applyFont="1" applyBorder="1"/>
    <xf numFmtId="168" fontId="16" fillId="0" borderId="10" xfId="1" applyNumberFormat="1" applyFont="1" applyBorder="1"/>
    <xf numFmtId="0" fontId="0" fillId="0" borderId="0" xfId="0"/>
    <xf numFmtId="0" fontId="16" fillId="0" borderId="0" xfId="0" applyFont="1"/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Insatisfaisant" xfId="8" builtinId="27" customBuiltin="1"/>
    <cellStyle name="Milliers" xfId="1" builtinId="3"/>
    <cellStyle name="Neutre" xfId="9" builtinId="28" customBuiltin="1"/>
    <cellStyle name="Normal" xfId="0" builtinId="0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54"/>
  <sheetViews>
    <sheetView tabSelected="1" workbookViewId="0"/>
  </sheetViews>
  <sheetFormatPr baseColWidth="10" defaultRowHeight="15" x14ac:dyDescent="0.25"/>
  <cols>
    <col min="2" max="2" width="96.28515625" bestFit="1" customWidth="1"/>
    <col min="3" max="3" width="16.42578125" style="2" bestFit="1" customWidth="1"/>
    <col min="4" max="4" width="19.85546875" style="2" bestFit="1" customWidth="1"/>
  </cols>
  <sheetData>
    <row r="1" spans="1:4" x14ac:dyDescent="0.25">
      <c r="C1" s="2" t="s">
        <v>18</v>
      </c>
    </row>
    <row r="3" spans="1:4" x14ac:dyDescent="0.25">
      <c r="A3" t="s">
        <v>0</v>
      </c>
      <c r="B3" t="str">
        <f>T("19/03/2015")</f>
        <v>19/03/2015</v>
      </c>
    </row>
    <row r="4" spans="1:4" x14ac:dyDescent="0.25">
      <c r="A4" t="s">
        <v>1</v>
      </c>
      <c r="B4" t="str">
        <f>T("00")</f>
        <v>00</v>
      </c>
    </row>
    <row r="5" spans="1:4" x14ac:dyDescent="0.25">
      <c r="A5" t="s">
        <v>2</v>
      </c>
      <c r="B5" t="str">
        <f>T("2014")</f>
        <v>2014</v>
      </c>
    </row>
    <row r="6" spans="1:4" x14ac:dyDescent="0.25">
      <c r="A6" t="s">
        <v>3</v>
      </c>
      <c r="B6" t="str">
        <f>T("7Bureaux")</f>
        <v>7Bureaux</v>
      </c>
    </row>
    <row r="7" spans="1:4" x14ac:dyDescent="0.25">
      <c r="A7" t="s">
        <v>4</v>
      </c>
      <c r="B7" t="str">
        <f>T("Commerce Spécial")</f>
        <v>Commerce Spécial</v>
      </c>
    </row>
    <row r="8" spans="1:4" x14ac:dyDescent="0.25">
      <c r="A8" t="s">
        <v>5</v>
      </c>
      <c r="B8" t="str">
        <f>T("ET")</f>
        <v>ET</v>
      </c>
    </row>
    <row r="9" spans="1:4" x14ac:dyDescent="0.25">
      <c r="A9" t="s">
        <v>6</v>
      </c>
      <c r="B9" t="str">
        <f>T("ZZZ_Monde")</f>
        <v>ZZZ_Monde</v>
      </c>
    </row>
    <row r="10" spans="1:4" x14ac:dyDescent="0.25">
      <c r="A10" t="s">
        <v>7</v>
      </c>
      <c r="B10" t="s">
        <v>8</v>
      </c>
    </row>
    <row r="11" spans="1:4" x14ac:dyDescent="0.25">
      <c r="A11" t="s">
        <v>9</v>
      </c>
      <c r="B11" t="s">
        <v>10</v>
      </c>
    </row>
    <row r="12" spans="1:4" x14ac:dyDescent="0.25">
      <c r="A12" t="s">
        <v>11</v>
      </c>
      <c r="B12" t="s">
        <v>12</v>
      </c>
    </row>
    <row r="13" spans="1:4" ht="15.75" thickBot="1" x14ac:dyDescent="0.3"/>
    <row r="14" spans="1:4" s="5" customFormat="1" ht="16.5" thickTop="1" thickBot="1" x14ac:dyDescent="0.3">
      <c r="A14" s="3" t="s">
        <v>14</v>
      </c>
      <c r="B14" s="3" t="s">
        <v>15</v>
      </c>
      <c r="C14" s="4" t="s">
        <v>16</v>
      </c>
      <c r="D14" s="4" t="s">
        <v>17</v>
      </c>
    </row>
    <row r="15" spans="1:4" ht="15.75" thickTop="1" x14ac:dyDescent="0.25"/>
    <row r="16" spans="1:4" s="6" customFormat="1" x14ac:dyDescent="0.25">
      <c r="A16" s="6" t="str">
        <f>T("010519")</f>
        <v>010519</v>
      </c>
      <c r="B16" s="6" t="str">
        <f>T("AUTRES VOLAILLES VIVANTES, D'UN POIDS N'EXCEDANT PAS 185 G")</f>
        <v>AUTRES VOLAILLES VIVANTES, D'UN POIDS N'EXCEDANT PAS 185 G</v>
      </c>
      <c r="C16" s="1"/>
      <c r="D16" s="1"/>
    </row>
    <row r="17" spans="1:4" x14ac:dyDescent="0.25">
      <c r="B17" t="str">
        <f>T("   Congo (Brazzaville)")</f>
        <v xml:space="preserve">   Congo (Brazzaville)</v>
      </c>
      <c r="C17" s="2">
        <v>88</v>
      </c>
      <c r="D17" s="2">
        <v>50000</v>
      </c>
    </row>
    <row r="18" spans="1:4" s="6" customFormat="1" x14ac:dyDescent="0.25">
      <c r="B18" s="6" t="str">
        <f>T("   Total Monde")</f>
        <v xml:space="preserve">   Total Monde</v>
      </c>
      <c r="C18" s="1">
        <v>88</v>
      </c>
      <c r="D18" s="1">
        <v>50000</v>
      </c>
    </row>
    <row r="19" spans="1:4" s="6" customFormat="1" x14ac:dyDescent="0.25">
      <c r="A19" s="6" t="str">
        <f>T("010690")</f>
        <v>010690</v>
      </c>
      <c r="B19" s="6" t="str">
        <f>T("AUTRES")</f>
        <v>AUTRES</v>
      </c>
      <c r="C19" s="1"/>
      <c r="D19" s="1"/>
    </row>
    <row r="20" spans="1:4" x14ac:dyDescent="0.25">
      <c r="B20" t="str">
        <f>T("   Ouganda")</f>
        <v xml:space="preserve">   Ouganda</v>
      </c>
      <c r="C20" s="2">
        <v>400</v>
      </c>
      <c r="D20" s="2">
        <v>500000</v>
      </c>
    </row>
    <row r="21" spans="1:4" s="6" customFormat="1" x14ac:dyDescent="0.25">
      <c r="B21" s="6" t="str">
        <f>T("   Total Monde")</f>
        <v xml:space="preserve">   Total Monde</v>
      </c>
      <c r="C21" s="1">
        <v>400</v>
      </c>
      <c r="D21" s="1">
        <v>500000</v>
      </c>
    </row>
    <row r="22" spans="1:4" s="6" customFormat="1" x14ac:dyDescent="0.25">
      <c r="A22" s="6" t="str">
        <f>T("030219")</f>
        <v>030219</v>
      </c>
      <c r="B22" s="6" t="str">
        <f>T("AUTRES")</f>
        <v>AUTRES</v>
      </c>
      <c r="C22" s="1"/>
      <c r="D22" s="1"/>
    </row>
    <row r="23" spans="1:4" x14ac:dyDescent="0.25">
      <c r="B23" t="str">
        <f>T("   Niger")</f>
        <v xml:space="preserve">   Niger</v>
      </c>
      <c r="C23" s="2">
        <v>51000</v>
      </c>
      <c r="D23" s="2">
        <v>2873078</v>
      </c>
    </row>
    <row r="24" spans="1:4" s="6" customFormat="1" x14ac:dyDescent="0.25">
      <c r="B24" s="6" t="str">
        <f>T("   Total Monde")</f>
        <v xml:space="preserve">   Total Monde</v>
      </c>
      <c r="C24" s="1">
        <v>51000</v>
      </c>
      <c r="D24" s="1">
        <v>2873078</v>
      </c>
    </row>
    <row r="25" spans="1:4" s="6" customFormat="1" x14ac:dyDescent="0.25">
      <c r="A25" s="6" t="str">
        <f>T("030339")</f>
        <v>030339</v>
      </c>
      <c r="B25" s="6" t="str">
        <f>T("AUTRES")</f>
        <v>AUTRES</v>
      </c>
      <c r="C25" s="1"/>
      <c r="D25" s="1"/>
    </row>
    <row r="26" spans="1:4" x14ac:dyDescent="0.25">
      <c r="B26" t="str">
        <f>T("   Chine")</f>
        <v xml:space="preserve">   Chine</v>
      </c>
      <c r="C26" s="2">
        <v>30000</v>
      </c>
      <c r="D26" s="2">
        <v>12000000</v>
      </c>
    </row>
    <row r="27" spans="1:4" x14ac:dyDescent="0.25">
      <c r="B27" t="str">
        <f>T("   Inde")</f>
        <v xml:space="preserve">   Inde</v>
      </c>
      <c r="C27" s="2">
        <v>60000</v>
      </c>
      <c r="D27" s="2">
        <v>24000000</v>
      </c>
    </row>
    <row r="28" spans="1:4" s="6" customFormat="1" x14ac:dyDescent="0.25">
      <c r="B28" s="6" t="str">
        <f>T("   Total Monde")</f>
        <v xml:space="preserve">   Total Monde</v>
      </c>
      <c r="C28" s="1">
        <v>90000</v>
      </c>
      <c r="D28" s="1">
        <v>36000000</v>
      </c>
    </row>
    <row r="29" spans="1:4" s="6" customFormat="1" x14ac:dyDescent="0.25">
      <c r="A29" s="6" t="str">
        <f>T("030379")</f>
        <v>030379</v>
      </c>
      <c r="B29" s="6" t="str">
        <f>T("AUTRES POISSONS ENTIERS CONGELES.(FOIES,OEUFS,LAITANCES EXCLUS)")</f>
        <v>AUTRES POISSONS ENTIERS CONGELES.(FOIES,OEUFS,LAITANCES EXCLUS)</v>
      </c>
      <c r="C29" s="1"/>
      <c r="D29" s="1"/>
    </row>
    <row r="30" spans="1:4" x14ac:dyDescent="0.25">
      <c r="B30" t="str">
        <f>T("   Togo")</f>
        <v xml:space="preserve">   Togo</v>
      </c>
      <c r="C30" s="2">
        <v>656911</v>
      </c>
      <c r="D30" s="2">
        <v>218700630</v>
      </c>
    </row>
    <row r="31" spans="1:4" x14ac:dyDescent="0.25">
      <c r="B31" t="str">
        <f>T("   Vietnam")</f>
        <v xml:space="preserve">   Vietnam</v>
      </c>
      <c r="C31" s="2">
        <v>120680</v>
      </c>
      <c r="D31" s="2">
        <v>34821363</v>
      </c>
    </row>
    <row r="32" spans="1:4" s="6" customFormat="1" x14ac:dyDescent="0.25">
      <c r="B32" s="6" t="str">
        <f>T("   Total Monde")</f>
        <v xml:space="preserve">   Total Monde</v>
      </c>
      <c r="C32" s="1">
        <v>777591</v>
      </c>
      <c r="D32" s="1">
        <v>253521993</v>
      </c>
    </row>
    <row r="33" spans="1:4" s="6" customFormat="1" x14ac:dyDescent="0.25">
      <c r="A33" s="6" t="str">
        <f>T("030530")</f>
        <v>030530</v>
      </c>
      <c r="B33" s="6" t="str">
        <f>T("FILETS DE POISSONS SALES,SECHES OU EN SAUMURE, MAIS NON FUMES")</f>
        <v>FILETS DE POISSONS SALES,SECHES OU EN SAUMURE, MAIS NON FUMES</v>
      </c>
      <c r="C33" s="1"/>
      <c r="D33" s="1"/>
    </row>
    <row r="34" spans="1:4" x14ac:dyDescent="0.25">
      <c r="B34" t="str">
        <f>T("   France")</f>
        <v xml:space="preserve">   France</v>
      </c>
      <c r="C34" s="2">
        <v>164</v>
      </c>
      <c r="D34" s="2">
        <v>461960</v>
      </c>
    </row>
    <row r="35" spans="1:4" s="6" customFormat="1" x14ac:dyDescent="0.25">
      <c r="B35" s="6" t="str">
        <f>T("   Total Monde")</f>
        <v xml:space="preserve">   Total Monde</v>
      </c>
      <c r="C35" s="1">
        <v>164</v>
      </c>
      <c r="D35" s="1">
        <v>461960</v>
      </c>
    </row>
    <row r="36" spans="1:4" s="6" customFormat="1" x14ac:dyDescent="0.25">
      <c r="A36" s="6" t="str">
        <f>T("030549")</f>
        <v>030549</v>
      </c>
      <c r="B36" s="6" t="str">
        <f>T("AUTRES")</f>
        <v>AUTRES</v>
      </c>
      <c r="C36" s="1"/>
      <c r="D36" s="1"/>
    </row>
    <row r="37" spans="1:4" x14ac:dyDescent="0.25">
      <c r="B37" t="str">
        <f>T("   France")</f>
        <v xml:space="preserve">   France</v>
      </c>
      <c r="C37" s="2">
        <v>222.46</v>
      </c>
      <c r="D37" s="2">
        <v>857280</v>
      </c>
    </row>
    <row r="38" spans="1:4" s="6" customFormat="1" x14ac:dyDescent="0.25">
      <c r="B38" s="6" t="str">
        <f>T("   Total Monde")</f>
        <v xml:space="preserve">   Total Monde</v>
      </c>
      <c r="C38" s="1">
        <v>222.46</v>
      </c>
      <c r="D38" s="1">
        <v>857280</v>
      </c>
    </row>
    <row r="39" spans="1:4" s="6" customFormat="1" x14ac:dyDescent="0.25">
      <c r="A39" s="6" t="str">
        <f>T("030611")</f>
        <v>030611</v>
      </c>
      <c r="B39" s="6" t="str">
        <f>T("LANGOUSTES (PALINURUS SPP., PANULIRUS SPP., JASUS SPP.)")</f>
        <v>LANGOUSTES (PALINURUS SPP., PANULIRUS SPP., JASUS SPP.)</v>
      </c>
      <c r="C39" s="1"/>
      <c r="D39" s="1"/>
    </row>
    <row r="40" spans="1:4" x14ac:dyDescent="0.25">
      <c r="B40" t="str">
        <f>T("   Brésil")</f>
        <v xml:space="preserve">   Brésil</v>
      </c>
      <c r="C40" s="2">
        <v>150</v>
      </c>
      <c r="D40" s="2">
        <v>60000</v>
      </c>
    </row>
    <row r="41" spans="1:4" x14ac:dyDescent="0.25">
      <c r="B41" t="str">
        <f>T("   France")</f>
        <v xml:space="preserve">   France</v>
      </c>
      <c r="C41" s="2">
        <v>330</v>
      </c>
      <c r="D41" s="2">
        <v>132000</v>
      </c>
    </row>
    <row r="42" spans="1:4" s="6" customFormat="1" x14ac:dyDescent="0.25">
      <c r="B42" s="6" t="str">
        <f>T("   Total Monde")</f>
        <v xml:space="preserve">   Total Monde</v>
      </c>
      <c r="C42" s="1">
        <v>480</v>
      </c>
      <c r="D42" s="1">
        <v>192000</v>
      </c>
    </row>
    <row r="43" spans="1:4" s="6" customFormat="1" x14ac:dyDescent="0.25">
      <c r="A43" s="6" t="str">
        <f>T("040221")</f>
        <v>040221</v>
      </c>
      <c r="B43" s="6" t="str">
        <f>T("SANS ADDITION DE SUCRE OU D'AUTRES EDULCORANTS")</f>
        <v>SANS ADDITION DE SUCRE OU D'AUTRES EDULCORANTS</v>
      </c>
      <c r="C43" s="1"/>
      <c r="D43" s="1"/>
    </row>
    <row r="44" spans="1:4" x14ac:dyDescent="0.25">
      <c r="B44" t="str">
        <f>T("   Chine")</f>
        <v xml:space="preserve">   Chine</v>
      </c>
      <c r="C44" s="2">
        <v>10000</v>
      </c>
      <c r="D44" s="2">
        <v>2500000</v>
      </c>
    </row>
    <row r="45" spans="1:4" s="6" customFormat="1" x14ac:dyDescent="0.25">
      <c r="B45" s="6" t="str">
        <f>T("   Total Monde")</f>
        <v xml:space="preserve">   Total Monde</v>
      </c>
      <c r="C45" s="1">
        <v>10000</v>
      </c>
      <c r="D45" s="1">
        <v>2500000</v>
      </c>
    </row>
    <row r="46" spans="1:4" s="6" customFormat="1" x14ac:dyDescent="0.25">
      <c r="A46" s="6" t="str">
        <f>T("040229")</f>
        <v>040229</v>
      </c>
      <c r="B46" s="6" t="str">
        <f>T("AUTRES")</f>
        <v>AUTRES</v>
      </c>
      <c r="C46" s="1"/>
      <c r="D46" s="1"/>
    </row>
    <row r="47" spans="1:4" x14ac:dyDescent="0.25">
      <c r="B47" t="str">
        <f>T("   Mauritanie")</f>
        <v xml:space="preserve">   Mauritanie</v>
      </c>
      <c r="C47" s="2">
        <v>25000</v>
      </c>
      <c r="D47" s="2">
        <v>5000000</v>
      </c>
    </row>
    <row r="48" spans="1:4" s="6" customFormat="1" x14ac:dyDescent="0.25">
      <c r="B48" s="6" t="str">
        <f>T("   Total Monde")</f>
        <v xml:space="preserve">   Total Monde</v>
      </c>
      <c r="C48" s="1">
        <v>25000</v>
      </c>
      <c r="D48" s="1">
        <v>5000000</v>
      </c>
    </row>
    <row r="49" spans="1:4" s="6" customFormat="1" x14ac:dyDescent="0.25">
      <c r="A49" s="6" t="str">
        <f>T("040291")</f>
        <v>040291</v>
      </c>
      <c r="B49" s="6" t="str">
        <f>T("SANS ADDITION DE SUCRE OU D'AUTRES EDULCORANTS")</f>
        <v>SANS ADDITION DE SUCRE OU D'AUTRES EDULCORANTS</v>
      </c>
      <c r="C49" s="1"/>
      <c r="D49" s="1"/>
    </row>
    <row r="50" spans="1:4" x14ac:dyDescent="0.25">
      <c r="B50" t="str">
        <f>T("   Guinée Equatoriale")</f>
        <v xml:space="preserve">   Guinée Equatoriale</v>
      </c>
      <c r="C50" s="2">
        <v>200</v>
      </c>
      <c r="D50" s="2">
        <v>200000</v>
      </c>
    </row>
    <row r="51" spans="1:4" s="6" customFormat="1" x14ac:dyDescent="0.25">
      <c r="B51" s="6" t="str">
        <f>T("   Total Monde")</f>
        <v xml:space="preserve">   Total Monde</v>
      </c>
      <c r="C51" s="1">
        <v>200</v>
      </c>
      <c r="D51" s="1">
        <v>200000</v>
      </c>
    </row>
    <row r="52" spans="1:4" s="6" customFormat="1" x14ac:dyDescent="0.25">
      <c r="A52" s="6" t="str">
        <f>T("040310")</f>
        <v>040310</v>
      </c>
      <c r="B52" s="6" t="str">
        <f>T("YOGHOURT")</f>
        <v>YOGHOURT</v>
      </c>
      <c r="C52" s="1"/>
      <c r="D52" s="1"/>
    </row>
    <row r="53" spans="1:4" x14ac:dyDescent="0.25">
      <c r="B53" t="str">
        <f>T("   France")</f>
        <v xml:space="preserve">   France</v>
      </c>
      <c r="C53" s="2">
        <v>71</v>
      </c>
      <c r="D53" s="2">
        <v>160665</v>
      </c>
    </row>
    <row r="54" spans="1:4" s="6" customFormat="1" x14ac:dyDescent="0.25">
      <c r="B54" s="6" t="str">
        <f>T("   Total Monde")</f>
        <v xml:space="preserve">   Total Monde</v>
      </c>
      <c r="C54" s="1">
        <v>71</v>
      </c>
      <c r="D54" s="1">
        <v>160665</v>
      </c>
    </row>
    <row r="55" spans="1:4" s="6" customFormat="1" x14ac:dyDescent="0.25">
      <c r="A55" s="6" t="str">
        <f>T("040510")</f>
        <v>040510</v>
      </c>
      <c r="B55" s="6" t="str">
        <f>T("BEURRE")</f>
        <v>BEURRE</v>
      </c>
      <c r="C55" s="1"/>
      <c r="D55" s="1"/>
    </row>
    <row r="56" spans="1:4" x14ac:dyDescent="0.25">
      <c r="B56" t="str">
        <f>T("   Belgique")</f>
        <v xml:space="preserve">   Belgique</v>
      </c>
      <c r="C56" s="2">
        <v>179988</v>
      </c>
      <c r="D56" s="2">
        <v>122116044</v>
      </c>
    </row>
    <row r="57" spans="1:4" x14ac:dyDescent="0.25">
      <c r="B57" t="str">
        <f>T("   Chine")</f>
        <v xml:space="preserve">   Chine</v>
      </c>
      <c r="C57" s="2">
        <v>1194476</v>
      </c>
      <c r="D57" s="2">
        <v>737335844</v>
      </c>
    </row>
    <row r="58" spans="1:4" x14ac:dyDescent="0.25">
      <c r="B58" t="str">
        <f>T("   Espagne")</f>
        <v xml:space="preserve">   Espagne</v>
      </c>
      <c r="C58" s="2">
        <v>186251</v>
      </c>
      <c r="D58" s="2">
        <v>131496285</v>
      </c>
    </row>
    <row r="59" spans="1:4" x14ac:dyDescent="0.25">
      <c r="B59" t="str">
        <f>T("   France")</f>
        <v xml:space="preserve">   France</v>
      </c>
      <c r="C59" s="2">
        <v>137.87</v>
      </c>
      <c r="D59" s="2">
        <v>386287</v>
      </c>
    </row>
    <row r="60" spans="1:4" x14ac:dyDescent="0.25">
      <c r="B60" t="str">
        <f>T("   Inde")</f>
        <v xml:space="preserve">   Inde</v>
      </c>
      <c r="C60" s="2">
        <v>101300</v>
      </c>
      <c r="D60" s="2">
        <v>57498026</v>
      </c>
    </row>
    <row r="61" spans="1:4" x14ac:dyDescent="0.25">
      <c r="B61" t="str">
        <f>T("   Malaisie")</f>
        <v xml:space="preserve">   Malaisie</v>
      </c>
      <c r="C61" s="2">
        <v>5109108</v>
      </c>
      <c r="D61" s="2">
        <v>3108966196</v>
      </c>
    </row>
    <row r="62" spans="1:4" x14ac:dyDescent="0.25">
      <c r="B62" t="str">
        <f>T("   Pays-bas")</f>
        <v xml:space="preserve">   Pays-bas</v>
      </c>
      <c r="C62" s="2">
        <v>260298</v>
      </c>
      <c r="D62" s="2">
        <v>176517017</v>
      </c>
    </row>
    <row r="63" spans="1:4" x14ac:dyDescent="0.25">
      <c r="B63" t="str">
        <f>T("   Afrique du Sud")</f>
        <v xml:space="preserve">   Afrique du Sud</v>
      </c>
      <c r="C63" s="2">
        <v>245480</v>
      </c>
      <c r="D63" s="2">
        <v>154209893</v>
      </c>
    </row>
    <row r="64" spans="1:4" s="6" customFormat="1" x14ac:dyDescent="0.25">
      <c r="B64" s="6" t="str">
        <f>T("   Total Monde")</f>
        <v xml:space="preserve">   Total Monde</v>
      </c>
      <c r="C64" s="1">
        <v>7277038.8700000001</v>
      </c>
      <c r="D64" s="1">
        <v>4488525592</v>
      </c>
    </row>
    <row r="65" spans="1:4" s="6" customFormat="1" x14ac:dyDescent="0.25">
      <c r="A65" s="6" t="str">
        <f>T("040590")</f>
        <v>040590</v>
      </c>
      <c r="B65" s="6" t="str">
        <f>T("AUTRES")</f>
        <v>AUTRES</v>
      </c>
      <c r="C65" s="1"/>
      <c r="D65" s="1"/>
    </row>
    <row r="66" spans="1:4" x14ac:dyDescent="0.25">
      <c r="B66" t="str">
        <f>T("   Cameroun")</f>
        <v xml:space="preserve">   Cameroun</v>
      </c>
      <c r="C66" s="2">
        <v>1031</v>
      </c>
      <c r="D66" s="2">
        <v>3450000</v>
      </c>
    </row>
    <row r="67" spans="1:4" s="6" customFormat="1" x14ac:dyDescent="0.25">
      <c r="B67" s="6" t="str">
        <f>T("   Total Monde")</f>
        <v xml:space="preserve">   Total Monde</v>
      </c>
      <c r="C67" s="1">
        <v>1031</v>
      </c>
      <c r="D67" s="1">
        <v>3450000</v>
      </c>
    </row>
    <row r="68" spans="1:4" s="6" customFormat="1" x14ac:dyDescent="0.25">
      <c r="A68" s="6" t="str">
        <f>T("040610")</f>
        <v>040610</v>
      </c>
      <c r="B68" s="6" t="str">
        <f>T("FROMAGES FRAIS (NON AFFINES), Y COMPRIS LE FROMAGE DE LACTOSERUM, ET CAILLEBOTTE")</f>
        <v>FROMAGES FRAIS (NON AFFINES), Y COMPRIS LE FROMAGE DE LACTOSERUM, ET CAILLEBOTTE</v>
      </c>
      <c r="C68" s="1"/>
      <c r="D68" s="1"/>
    </row>
    <row r="69" spans="1:4" x14ac:dyDescent="0.25">
      <c r="B69" t="str">
        <f>T("   France")</f>
        <v xml:space="preserve">   France</v>
      </c>
      <c r="C69" s="2">
        <v>31</v>
      </c>
      <c r="D69" s="2">
        <v>150451</v>
      </c>
    </row>
    <row r="70" spans="1:4" s="6" customFormat="1" x14ac:dyDescent="0.25">
      <c r="B70" s="6" t="str">
        <f>T("   Total Monde")</f>
        <v xml:space="preserve">   Total Monde</v>
      </c>
      <c r="C70" s="1">
        <v>31</v>
      </c>
      <c r="D70" s="1">
        <v>150451</v>
      </c>
    </row>
    <row r="71" spans="1:4" s="6" customFormat="1" x14ac:dyDescent="0.25">
      <c r="A71" s="6" t="str">
        <f>T("040690")</f>
        <v>040690</v>
      </c>
      <c r="B71" s="6" t="str">
        <f>T("AUTRES FROMAGES")</f>
        <v>AUTRES FROMAGES</v>
      </c>
      <c r="C71" s="1"/>
      <c r="D71" s="1"/>
    </row>
    <row r="72" spans="1:4" x14ac:dyDescent="0.25">
      <c r="B72" t="str">
        <f>T("   France")</f>
        <v xml:space="preserve">   France</v>
      </c>
      <c r="C72" s="2">
        <v>464.67</v>
      </c>
      <c r="D72" s="2">
        <v>1370606</v>
      </c>
    </row>
    <row r="73" spans="1:4" s="6" customFormat="1" x14ac:dyDescent="0.25">
      <c r="B73" s="6" t="str">
        <f>T("   Total Monde")</f>
        <v xml:space="preserve">   Total Monde</v>
      </c>
      <c r="C73" s="1">
        <v>464.67</v>
      </c>
      <c r="D73" s="1">
        <v>1370606</v>
      </c>
    </row>
    <row r="74" spans="1:4" s="6" customFormat="1" x14ac:dyDescent="0.25">
      <c r="A74" s="6" t="str">
        <f>T("040900")</f>
        <v>040900</v>
      </c>
      <c r="B74" s="6" t="str">
        <f>T("MIEL NATUREL.")</f>
        <v>MIEL NATUREL.</v>
      </c>
      <c r="C74" s="1"/>
      <c r="D74" s="1"/>
    </row>
    <row r="75" spans="1:4" x14ac:dyDescent="0.25">
      <c r="B75" t="str">
        <f>T("   Arabie Saoudite")</f>
        <v xml:space="preserve">   Arabie Saoudite</v>
      </c>
      <c r="C75" s="2">
        <v>18000</v>
      </c>
      <c r="D75" s="2">
        <v>4500542</v>
      </c>
    </row>
    <row r="76" spans="1:4" s="6" customFormat="1" x14ac:dyDescent="0.25">
      <c r="B76" s="6" t="str">
        <f>T("   Total Monde")</f>
        <v xml:space="preserve">   Total Monde</v>
      </c>
      <c r="C76" s="1">
        <v>18000</v>
      </c>
      <c r="D76" s="1">
        <v>4500542</v>
      </c>
    </row>
    <row r="77" spans="1:4" s="6" customFormat="1" x14ac:dyDescent="0.25">
      <c r="A77" s="6" t="str">
        <f>T("060390")</f>
        <v>060390</v>
      </c>
      <c r="B77" s="6" t="str">
        <f>T("AUTRES")</f>
        <v>AUTRES</v>
      </c>
      <c r="C77" s="1"/>
      <c r="D77" s="1"/>
    </row>
    <row r="78" spans="1:4" x14ac:dyDescent="0.25">
      <c r="B78" t="str">
        <f>T("   Belgique")</f>
        <v xml:space="preserve">   Belgique</v>
      </c>
      <c r="C78" s="2">
        <v>1600</v>
      </c>
      <c r="D78" s="2">
        <v>787152</v>
      </c>
    </row>
    <row r="79" spans="1:4" s="6" customFormat="1" x14ac:dyDescent="0.25">
      <c r="B79" s="6" t="str">
        <f>T("   Total Monde")</f>
        <v xml:space="preserve">   Total Monde</v>
      </c>
      <c r="C79" s="1">
        <v>1600</v>
      </c>
      <c r="D79" s="1">
        <v>787152</v>
      </c>
    </row>
    <row r="80" spans="1:4" s="6" customFormat="1" x14ac:dyDescent="0.25">
      <c r="A80" s="6" t="str">
        <f>T("060499")</f>
        <v>060499</v>
      </c>
      <c r="B80" s="6" t="str">
        <f>T("AUTRES FEUILLAGES,FEUILLES,RAMEAUX,NON FRAIS,POUR BOUQUETS OU ORNEMENTS")</f>
        <v>AUTRES FEUILLAGES,FEUILLES,RAMEAUX,NON FRAIS,POUR BOUQUETS OU ORNEMENTS</v>
      </c>
      <c r="C80" s="1"/>
      <c r="D80" s="1"/>
    </row>
    <row r="81" spans="1:4" x14ac:dyDescent="0.25">
      <c r="B81" t="str">
        <f>T("   Congo (Brazzaville)")</f>
        <v xml:space="preserve">   Congo (Brazzaville)</v>
      </c>
      <c r="C81" s="2">
        <v>30000</v>
      </c>
      <c r="D81" s="2">
        <v>1800000</v>
      </c>
    </row>
    <row r="82" spans="1:4" s="6" customFormat="1" x14ac:dyDescent="0.25">
      <c r="B82" s="6" t="str">
        <f>T("   Total Monde")</f>
        <v xml:space="preserve">   Total Monde</v>
      </c>
      <c r="C82" s="1">
        <v>30000</v>
      </c>
      <c r="D82" s="1">
        <v>1800000</v>
      </c>
    </row>
    <row r="83" spans="1:4" s="6" customFormat="1" x14ac:dyDescent="0.25">
      <c r="A83" s="6" t="str">
        <f>T("070960")</f>
        <v>070960</v>
      </c>
      <c r="B83" s="6" t="str">
        <f>T("PIMENTS DU GENRE CAPSICUM OU DU GENRE PIMENTA")</f>
        <v>PIMENTS DU GENRE CAPSICUM OU DU GENRE PIMENTA</v>
      </c>
      <c r="C83" s="1"/>
      <c r="D83" s="1"/>
    </row>
    <row r="84" spans="1:4" x14ac:dyDescent="0.25">
      <c r="B84" t="str">
        <f>T("   Sénégal")</f>
        <v xml:space="preserve">   Sénégal</v>
      </c>
      <c r="C84" s="2">
        <v>6380</v>
      </c>
      <c r="D84" s="2">
        <v>2002000</v>
      </c>
    </row>
    <row r="85" spans="1:4" s="6" customFormat="1" x14ac:dyDescent="0.25">
      <c r="B85" s="6" t="str">
        <f>T("   Total Monde")</f>
        <v xml:space="preserve">   Total Monde</v>
      </c>
      <c r="C85" s="1">
        <v>6380</v>
      </c>
      <c r="D85" s="1">
        <v>2002000</v>
      </c>
    </row>
    <row r="86" spans="1:4" s="6" customFormat="1" x14ac:dyDescent="0.25">
      <c r="A86" s="6" t="str">
        <f>T("071022")</f>
        <v>071022</v>
      </c>
      <c r="B86" s="6" t="str">
        <f>T("HARICOTS (VIGNA SPP., PHASEOLUS SPP.)")</f>
        <v>HARICOTS (VIGNA SPP., PHASEOLUS SPP.)</v>
      </c>
      <c r="C86" s="1"/>
      <c r="D86" s="1"/>
    </row>
    <row r="87" spans="1:4" x14ac:dyDescent="0.25">
      <c r="B87" t="str">
        <f>T("   Gabon")</f>
        <v xml:space="preserve">   Gabon</v>
      </c>
      <c r="C87" s="2">
        <v>13000</v>
      </c>
      <c r="D87" s="2">
        <v>1958500</v>
      </c>
    </row>
    <row r="88" spans="1:4" s="6" customFormat="1" x14ac:dyDescent="0.25">
      <c r="B88" s="6" t="str">
        <f>T("   Total Monde")</f>
        <v xml:space="preserve">   Total Monde</v>
      </c>
      <c r="C88" s="1">
        <v>13000</v>
      </c>
      <c r="D88" s="1">
        <v>1958500</v>
      </c>
    </row>
    <row r="89" spans="1:4" s="6" customFormat="1" x14ac:dyDescent="0.25">
      <c r="A89" s="6" t="str">
        <f>T("071239")</f>
        <v>071239</v>
      </c>
      <c r="B89" s="6" t="str">
        <f>T("AUTRES")</f>
        <v>AUTRES</v>
      </c>
      <c r="C89" s="1"/>
      <c r="D89" s="1"/>
    </row>
    <row r="90" spans="1:4" x14ac:dyDescent="0.25">
      <c r="B90" t="str">
        <f>T("   Congo (Brazzaville)")</f>
        <v xml:space="preserve">   Congo (Brazzaville)</v>
      </c>
      <c r="C90" s="2">
        <v>8900</v>
      </c>
      <c r="D90" s="2">
        <v>1557500</v>
      </c>
    </row>
    <row r="91" spans="1:4" s="6" customFormat="1" x14ac:dyDescent="0.25">
      <c r="B91" s="6" t="str">
        <f>T("   Total Monde")</f>
        <v xml:space="preserve">   Total Monde</v>
      </c>
      <c r="C91" s="1">
        <v>8900</v>
      </c>
      <c r="D91" s="1">
        <v>1557500</v>
      </c>
    </row>
    <row r="92" spans="1:4" s="6" customFormat="1" x14ac:dyDescent="0.25">
      <c r="A92" s="6" t="str">
        <f>T("071339")</f>
        <v>071339</v>
      </c>
      <c r="B92" s="6" t="str">
        <f>T("AUTRES")</f>
        <v>AUTRES</v>
      </c>
      <c r="C92" s="1"/>
      <c r="D92" s="1"/>
    </row>
    <row r="93" spans="1:4" x14ac:dyDescent="0.25">
      <c r="B93" t="str">
        <f>T("   Congo (Brazzaville)")</f>
        <v xml:space="preserve">   Congo (Brazzaville)</v>
      </c>
      <c r="C93" s="2">
        <v>23500</v>
      </c>
      <c r="D93" s="2">
        <v>4101000</v>
      </c>
    </row>
    <row r="94" spans="1:4" x14ac:dyDescent="0.25">
      <c r="B94" t="str">
        <f>T("   Gabon")</f>
        <v xml:space="preserve">   Gabon</v>
      </c>
      <c r="C94" s="2">
        <v>10100</v>
      </c>
      <c r="D94" s="2">
        <v>2580000</v>
      </c>
    </row>
    <row r="95" spans="1:4" s="6" customFormat="1" x14ac:dyDescent="0.25">
      <c r="B95" s="6" t="str">
        <f>T("   Total Monde")</f>
        <v xml:space="preserve">   Total Monde</v>
      </c>
      <c r="C95" s="1">
        <v>33600</v>
      </c>
      <c r="D95" s="1">
        <v>6681000</v>
      </c>
    </row>
    <row r="96" spans="1:4" s="6" customFormat="1" x14ac:dyDescent="0.25">
      <c r="A96" s="6" t="str">
        <f>T("071490")</f>
        <v>071490</v>
      </c>
      <c r="B96" s="6" t="str">
        <f>T("AUTRES")</f>
        <v>AUTRES</v>
      </c>
      <c r="C96" s="1"/>
      <c r="D96" s="1"/>
    </row>
    <row r="97" spans="1:4" x14ac:dyDescent="0.25">
      <c r="B97" t="str">
        <f>T("   Gabon")</f>
        <v xml:space="preserve">   Gabon</v>
      </c>
      <c r="C97" s="2">
        <v>264000</v>
      </c>
      <c r="D97" s="2">
        <v>15900000</v>
      </c>
    </row>
    <row r="98" spans="1:4" x14ac:dyDescent="0.25">
      <c r="B98" t="str">
        <f>T("   Guinée Equatoriale")</f>
        <v xml:space="preserve">   Guinée Equatoriale</v>
      </c>
      <c r="C98" s="2">
        <v>200</v>
      </c>
      <c r="D98" s="2">
        <v>300000</v>
      </c>
    </row>
    <row r="99" spans="1:4" s="6" customFormat="1" x14ac:dyDescent="0.25">
      <c r="B99" s="6" t="str">
        <f>T("   Total Monde")</f>
        <v xml:space="preserve">   Total Monde</v>
      </c>
      <c r="C99" s="1">
        <v>264200</v>
      </c>
      <c r="D99" s="1">
        <v>16200000</v>
      </c>
    </row>
    <row r="100" spans="1:4" s="6" customFormat="1" x14ac:dyDescent="0.25">
      <c r="A100" s="6" t="str">
        <f>T("080131")</f>
        <v>080131</v>
      </c>
      <c r="B100" s="6" t="str">
        <f>T("EN COQUES")</f>
        <v>EN COQUES</v>
      </c>
      <c r="C100" s="1"/>
      <c r="D100" s="1"/>
    </row>
    <row r="101" spans="1:4" x14ac:dyDescent="0.25">
      <c r="B101" t="str">
        <f>T("   Chine")</f>
        <v xml:space="preserve">   Chine</v>
      </c>
      <c r="C101" s="2">
        <v>2202450</v>
      </c>
      <c r="D101" s="2">
        <v>574580992</v>
      </c>
    </row>
    <row r="102" spans="1:4" x14ac:dyDescent="0.25">
      <c r="B102" t="str">
        <f>T("   Inde")</f>
        <v xml:space="preserve">   Inde</v>
      </c>
      <c r="C102" s="2">
        <v>98521702</v>
      </c>
      <c r="D102" s="2">
        <v>26924149969</v>
      </c>
    </row>
    <row r="103" spans="1:4" x14ac:dyDescent="0.25">
      <c r="B103" t="str">
        <f>T("   Liban")</f>
        <v xml:space="preserve">   Liban</v>
      </c>
      <c r="C103" s="2">
        <v>84000</v>
      </c>
      <c r="D103" s="2">
        <v>21000000</v>
      </c>
    </row>
    <row r="104" spans="1:4" x14ac:dyDescent="0.25">
      <c r="B104" t="str">
        <f>T("   Maroc")</f>
        <v xml:space="preserve">   Maroc</v>
      </c>
      <c r="C104" s="2">
        <v>254515</v>
      </c>
      <c r="D104" s="2">
        <v>50891000</v>
      </c>
    </row>
    <row r="105" spans="1:4" x14ac:dyDescent="0.25">
      <c r="B105" t="str">
        <f>T("   Pays-bas")</f>
        <v xml:space="preserve">   Pays-bas</v>
      </c>
      <c r="C105" s="2">
        <v>34760</v>
      </c>
      <c r="D105" s="2">
        <v>14676711</v>
      </c>
    </row>
    <row r="106" spans="1:4" x14ac:dyDescent="0.25">
      <c r="B106" t="str">
        <f>T("   Turquie")</f>
        <v xml:space="preserve">   Turquie</v>
      </c>
      <c r="C106" s="2">
        <v>91080</v>
      </c>
      <c r="D106" s="2">
        <v>17716000</v>
      </c>
    </row>
    <row r="107" spans="1:4" x14ac:dyDescent="0.25">
      <c r="B107" t="str">
        <f>T("   Vietnam")</f>
        <v xml:space="preserve">   Vietnam</v>
      </c>
      <c r="C107" s="2">
        <v>16306036</v>
      </c>
      <c r="D107" s="2">
        <v>4483022381</v>
      </c>
    </row>
    <row r="108" spans="1:4" s="6" customFormat="1" x14ac:dyDescent="0.25">
      <c r="B108" s="6" t="str">
        <f>T("   Total Monde")</f>
        <v xml:space="preserve">   Total Monde</v>
      </c>
      <c r="C108" s="1">
        <v>117494543</v>
      </c>
      <c r="D108" s="1">
        <v>32086037053</v>
      </c>
    </row>
    <row r="109" spans="1:4" s="6" customFormat="1" x14ac:dyDescent="0.25">
      <c r="A109" s="6" t="str">
        <f>T("080132")</f>
        <v>080132</v>
      </c>
      <c r="B109" s="6" t="str">
        <f>T("SANS COQUES")</f>
        <v>SANS COQUES</v>
      </c>
      <c r="C109" s="1"/>
      <c r="D109" s="1"/>
    </row>
    <row r="110" spans="1:4" x14ac:dyDescent="0.25">
      <c r="B110" t="str">
        <f>T("   Pays-bas")</f>
        <v xml:space="preserve">   Pays-bas</v>
      </c>
      <c r="C110" s="2">
        <v>17237</v>
      </c>
      <c r="D110" s="2">
        <v>44422923</v>
      </c>
    </row>
    <row r="111" spans="1:4" x14ac:dyDescent="0.25">
      <c r="B111" t="str">
        <f>T("   Etats-Unis")</f>
        <v xml:space="preserve">   Etats-Unis</v>
      </c>
      <c r="C111" s="2">
        <v>85571</v>
      </c>
      <c r="D111" s="2">
        <v>272192010</v>
      </c>
    </row>
    <row r="112" spans="1:4" s="6" customFormat="1" x14ac:dyDescent="0.25">
      <c r="B112" s="6" t="str">
        <f>T("   Total Monde")</f>
        <v xml:space="preserve">   Total Monde</v>
      </c>
      <c r="C112" s="1">
        <v>102808</v>
      </c>
      <c r="D112" s="1">
        <v>316614933</v>
      </c>
    </row>
    <row r="113" spans="1:4" s="6" customFormat="1" x14ac:dyDescent="0.25">
      <c r="A113" s="6" t="str">
        <f>T("080211")</f>
        <v>080211</v>
      </c>
      <c r="B113" s="6" t="str">
        <f>T("EN COQUES")</f>
        <v>EN COQUES</v>
      </c>
      <c r="C113" s="1"/>
      <c r="D113" s="1"/>
    </row>
    <row r="114" spans="1:4" x14ac:dyDescent="0.25">
      <c r="B114" t="str">
        <f>T("   Danemark")</f>
        <v xml:space="preserve">   Danemark</v>
      </c>
      <c r="C114" s="2">
        <v>39055000</v>
      </c>
      <c r="D114" s="2">
        <v>9180652170</v>
      </c>
    </row>
    <row r="115" spans="1:4" x14ac:dyDescent="0.25">
      <c r="B115" t="str">
        <f>T("   Inde")</f>
        <v xml:space="preserve">   Inde</v>
      </c>
      <c r="C115" s="2">
        <v>385940</v>
      </c>
      <c r="D115" s="2">
        <v>1929700</v>
      </c>
    </row>
    <row r="116" spans="1:4" x14ac:dyDescent="0.25">
      <c r="B116" t="str">
        <f>T("   Pays-bas")</f>
        <v xml:space="preserve">   Pays-bas</v>
      </c>
      <c r="C116" s="2">
        <v>101054</v>
      </c>
      <c r="D116" s="2">
        <v>275711115</v>
      </c>
    </row>
    <row r="117" spans="1:4" x14ac:dyDescent="0.25">
      <c r="B117" t="str">
        <f>T("   Tunisie")</f>
        <v xml:space="preserve">   Tunisie</v>
      </c>
      <c r="C117" s="2">
        <v>3870</v>
      </c>
      <c r="D117" s="2">
        <v>677250</v>
      </c>
    </row>
    <row r="118" spans="1:4" x14ac:dyDescent="0.25">
      <c r="B118" t="str">
        <f>T("   Turquie")</f>
        <v xml:space="preserve">   Turquie</v>
      </c>
      <c r="C118" s="2">
        <v>33657</v>
      </c>
      <c r="D118" s="2">
        <v>97496382</v>
      </c>
    </row>
    <row r="119" spans="1:4" x14ac:dyDescent="0.25">
      <c r="B119" t="str">
        <f>T("   Etats-Unis")</f>
        <v xml:space="preserve">   Etats-Unis</v>
      </c>
      <c r="C119" s="2">
        <v>82923</v>
      </c>
      <c r="D119" s="2">
        <v>249480037</v>
      </c>
    </row>
    <row r="120" spans="1:4" s="6" customFormat="1" x14ac:dyDescent="0.25">
      <c r="B120" s="6" t="str">
        <f>T("   Total Monde")</f>
        <v xml:space="preserve">   Total Monde</v>
      </c>
      <c r="C120" s="1">
        <v>39662444</v>
      </c>
      <c r="D120" s="1">
        <v>9805946654</v>
      </c>
    </row>
    <row r="121" spans="1:4" s="6" customFormat="1" x14ac:dyDescent="0.25">
      <c r="A121" s="6" t="str">
        <f>T("080212")</f>
        <v>080212</v>
      </c>
      <c r="B121" s="6" t="str">
        <f>T("SANS COQUES")</f>
        <v>SANS COQUES</v>
      </c>
      <c r="C121" s="1"/>
      <c r="D121" s="1"/>
    </row>
    <row r="122" spans="1:4" x14ac:dyDescent="0.25">
      <c r="B122" t="str">
        <f>T("   Inde")</f>
        <v xml:space="preserve">   Inde</v>
      </c>
      <c r="C122" s="2">
        <v>446862</v>
      </c>
      <c r="D122" s="2">
        <v>67973083</v>
      </c>
    </row>
    <row r="123" spans="1:4" x14ac:dyDescent="0.25">
      <c r="B123" t="str">
        <f>T("   Pays-bas")</f>
        <v xml:space="preserve">   Pays-bas</v>
      </c>
      <c r="C123" s="2">
        <v>167815</v>
      </c>
      <c r="D123" s="2">
        <v>454700301</v>
      </c>
    </row>
    <row r="124" spans="1:4" x14ac:dyDescent="0.25">
      <c r="B124" t="str">
        <f>T("   Etats-Unis")</f>
        <v xml:space="preserve">   Etats-Unis</v>
      </c>
      <c r="C124" s="2">
        <v>275096</v>
      </c>
      <c r="D124" s="2">
        <v>870007163</v>
      </c>
    </row>
    <row r="125" spans="1:4" s="6" customFormat="1" x14ac:dyDescent="0.25">
      <c r="B125" s="6" t="str">
        <f>T("   Total Monde")</f>
        <v xml:space="preserve">   Total Monde</v>
      </c>
      <c r="C125" s="1">
        <v>889773</v>
      </c>
      <c r="D125" s="1">
        <v>1392680547</v>
      </c>
    </row>
    <row r="126" spans="1:4" s="6" customFormat="1" x14ac:dyDescent="0.25">
      <c r="A126" s="6" t="str">
        <f>T("080290")</f>
        <v>080290</v>
      </c>
      <c r="B126" s="6" t="str">
        <f>T("AUTRES")</f>
        <v>AUTRES</v>
      </c>
      <c r="C126" s="1"/>
      <c r="D126" s="1"/>
    </row>
    <row r="127" spans="1:4" x14ac:dyDescent="0.25">
      <c r="B127" t="str">
        <f>T("   France")</f>
        <v xml:space="preserve">   France</v>
      </c>
      <c r="C127" s="2">
        <v>102</v>
      </c>
      <c r="D127" s="2">
        <v>53500</v>
      </c>
    </row>
    <row r="128" spans="1:4" x14ac:dyDescent="0.25">
      <c r="B128" t="str">
        <f>T("   Sénégal")</f>
        <v xml:space="preserve">   Sénégal</v>
      </c>
      <c r="C128" s="2">
        <v>3150</v>
      </c>
      <c r="D128" s="2">
        <v>1154625</v>
      </c>
    </row>
    <row r="129" spans="1:4" s="6" customFormat="1" x14ac:dyDescent="0.25">
      <c r="B129" s="6" t="str">
        <f>T("   Total Monde")</f>
        <v xml:space="preserve">   Total Monde</v>
      </c>
      <c r="C129" s="1">
        <v>3252</v>
      </c>
      <c r="D129" s="1">
        <v>1208125</v>
      </c>
    </row>
    <row r="130" spans="1:4" s="6" customFormat="1" x14ac:dyDescent="0.25">
      <c r="A130" s="6" t="str">
        <f>T("080430")</f>
        <v>080430</v>
      </c>
      <c r="B130" s="6" t="str">
        <f>T("ANANAS")</f>
        <v>ANANAS</v>
      </c>
      <c r="C130" s="1"/>
      <c r="D130" s="1"/>
    </row>
    <row r="131" spans="1:4" x14ac:dyDescent="0.25">
      <c r="B131" t="str">
        <f>T("   Belgique")</f>
        <v xml:space="preserve">   Belgique</v>
      </c>
      <c r="C131" s="2">
        <v>178453</v>
      </c>
      <c r="D131" s="2">
        <v>18449700</v>
      </c>
    </row>
    <row r="132" spans="1:4" x14ac:dyDescent="0.25">
      <c r="B132" t="str">
        <f>T("   France")</f>
        <v xml:space="preserve">   France</v>
      </c>
      <c r="C132" s="2">
        <v>807634</v>
      </c>
      <c r="D132" s="2">
        <v>72174617</v>
      </c>
    </row>
    <row r="133" spans="1:4" x14ac:dyDescent="0.25">
      <c r="B133" t="str">
        <f>T("   Italie")</f>
        <v xml:space="preserve">   Italie</v>
      </c>
      <c r="C133" s="2">
        <v>30000</v>
      </c>
      <c r="D133" s="2">
        <v>3000000</v>
      </c>
    </row>
    <row r="134" spans="1:4" s="6" customFormat="1" x14ac:dyDescent="0.25">
      <c r="B134" s="6" t="str">
        <f>T("   Total Monde")</f>
        <v xml:space="preserve">   Total Monde</v>
      </c>
      <c r="C134" s="1">
        <v>1016087</v>
      </c>
      <c r="D134" s="1">
        <v>93624317</v>
      </c>
    </row>
    <row r="135" spans="1:4" s="6" customFormat="1" x14ac:dyDescent="0.25">
      <c r="A135" s="6" t="str">
        <f>T("080520")</f>
        <v>080520</v>
      </c>
      <c r="B135" s="6" t="str">
        <f>T("MANDARINES (Y COMPRIS LES TANGERINES ET SATSUMAS); CLEMENTINES, WILKINGS ET HYBRIDES")</f>
        <v>MANDARINES (Y COMPRIS LES TANGERINES ET SATSUMAS); CLEMENTINES, WILKINGS ET HYBRIDES</v>
      </c>
      <c r="C135" s="1"/>
      <c r="D135" s="1"/>
    </row>
    <row r="136" spans="1:4" x14ac:dyDescent="0.25">
      <c r="B136" t="str">
        <f>T("   Ouganda")</f>
        <v xml:space="preserve">   Ouganda</v>
      </c>
      <c r="C136" s="2">
        <v>18207</v>
      </c>
      <c r="D136" s="2">
        <v>2000000</v>
      </c>
    </row>
    <row r="137" spans="1:4" s="6" customFormat="1" x14ac:dyDescent="0.25">
      <c r="B137" s="6" t="str">
        <f>T("   Total Monde")</f>
        <v xml:space="preserve">   Total Monde</v>
      </c>
      <c r="C137" s="1">
        <v>18207</v>
      </c>
      <c r="D137" s="1">
        <v>2000000</v>
      </c>
    </row>
    <row r="138" spans="1:4" s="6" customFormat="1" x14ac:dyDescent="0.25">
      <c r="A138" s="6" t="str">
        <f>T("081290")</f>
        <v>081290</v>
      </c>
      <c r="B138" s="6" t="str">
        <f>T("AUTRES")</f>
        <v>AUTRES</v>
      </c>
      <c r="C138" s="1"/>
      <c r="D138" s="1"/>
    </row>
    <row r="139" spans="1:4" x14ac:dyDescent="0.25">
      <c r="B139" t="str">
        <f>T("   Congo (Brazzaville)")</f>
        <v xml:space="preserve">   Congo (Brazzaville)</v>
      </c>
      <c r="C139" s="2">
        <v>2900</v>
      </c>
      <c r="D139" s="2">
        <v>1120000</v>
      </c>
    </row>
    <row r="140" spans="1:4" s="6" customFormat="1" x14ac:dyDescent="0.25">
      <c r="B140" s="6" t="str">
        <f>T("   Total Monde")</f>
        <v xml:space="preserve">   Total Monde</v>
      </c>
      <c r="C140" s="1">
        <v>2900</v>
      </c>
      <c r="D140" s="1">
        <v>1120000</v>
      </c>
    </row>
    <row r="141" spans="1:4" s="6" customFormat="1" x14ac:dyDescent="0.25">
      <c r="A141" s="6" t="str">
        <f>T("081340")</f>
        <v>081340</v>
      </c>
      <c r="B141" s="6" t="str">
        <f>T("AUTRES FRUITS")</f>
        <v>AUTRES FRUITS</v>
      </c>
      <c r="C141" s="1"/>
      <c r="D141" s="1"/>
    </row>
    <row r="142" spans="1:4" x14ac:dyDescent="0.25">
      <c r="B142" t="str">
        <f>T("   Soudan")</f>
        <v xml:space="preserve">   Soudan</v>
      </c>
      <c r="C142" s="2">
        <v>95660</v>
      </c>
      <c r="D142" s="2">
        <v>7707600</v>
      </c>
    </row>
    <row r="143" spans="1:4" s="6" customFormat="1" x14ac:dyDescent="0.25">
      <c r="B143" s="6" t="str">
        <f>T("   Total Monde")</f>
        <v xml:space="preserve">   Total Monde</v>
      </c>
      <c r="C143" s="1">
        <v>95660</v>
      </c>
      <c r="D143" s="1">
        <v>7707600</v>
      </c>
    </row>
    <row r="144" spans="1:4" s="6" customFormat="1" x14ac:dyDescent="0.25">
      <c r="A144" s="6" t="str">
        <f>T("090111")</f>
        <v>090111</v>
      </c>
      <c r="B144" s="6" t="str">
        <f>T("NON DECAFEINE")</f>
        <v>NON DECAFEINE</v>
      </c>
      <c r="C144" s="1"/>
      <c r="D144" s="1"/>
    </row>
    <row r="145" spans="1:4" x14ac:dyDescent="0.25">
      <c r="B145" t="str">
        <f>T("   Guinée Equatoriale")</f>
        <v xml:space="preserve">   Guinée Equatoriale</v>
      </c>
      <c r="C145" s="2">
        <v>200</v>
      </c>
      <c r="D145" s="2">
        <v>100000</v>
      </c>
    </row>
    <row r="146" spans="1:4" s="6" customFormat="1" x14ac:dyDescent="0.25">
      <c r="B146" s="6" t="str">
        <f>T("   Total Monde")</f>
        <v xml:space="preserve">   Total Monde</v>
      </c>
      <c r="C146" s="1">
        <v>200</v>
      </c>
      <c r="D146" s="1">
        <v>100000</v>
      </c>
    </row>
    <row r="147" spans="1:4" s="6" customFormat="1" x14ac:dyDescent="0.25">
      <c r="A147" s="6" t="str">
        <f>T("090420")</f>
        <v>090420</v>
      </c>
      <c r="B147" s="6" t="str">
        <f>T("PIMENTS SECHES OU BROYES OU PULVERISES")</f>
        <v>PIMENTS SECHES OU BROYES OU PULVERISES</v>
      </c>
      <c r="C147" s="1"/>
      <c r="D147" s="1"/>
    </row>
    <row r="148" spans="1:4" x14ac:dyDescent="0.25">
      <c r="B148" t="str">
        <f>T("   Inde")</f>
        <v xml:space="preserve">   Inde</v>
      </c>
      <c r="C148" s="2">
        <v>22907</v>
      </c>
      <c r="D148" s="2">
        <v>32069800</v>
      </c>
    </row>
    <row r="149" spans="1:4" s="6" customFormat="1" x14ac:dyDescent="0.25">
      <c r="B149" s="6" t="str">
        <f>T("   Total Monde")</f>
        <v xml:space="preserve">   Total Monde</v>
      </c>
      <c r="C149" s="1">
        <v>22907</v>
      </c>
      <c r="D149" s="1">
        <v>32069800</v>
      </c>
    </row>
    <row r="150" spans="1:4" s="6" customFormat="1" x14ac:dyDescent="0.25">
      <c r="A150" s="6" t="str">
        <f>T("090810")</f>
        <v>090810</v>
      </c>
      <c r="B150" s="6" t="str">
        <f>T("NOIX MUSCADES")</f>
        <v>NOIX MUSCADES</v>
      </c>
      <c r="C150" s="1"/>
      <c r="D150" s="1"/>
    </row>
    <row r="151" spans="1:4" x14ac:dyDescent="0.25">
      <c r="B151" t="str">
        <f>T("   Chine")</f>
        <v xml:space="preserve">   Chine</v>
      </c>
      <c r="C151" s="2">
        <v>8000</v>
      </c>
      <c r="D151" s="2">
        <v>1200000</v>
      </c>
    </row>
    <row r="152" spans="1:4" s="6" customFormat="1" x14ac:dyDescent="0.25">
      <c r="B152" s="6" t="str">
        <f>T("   Total Monde")</f>
        <v xml:space="preserve">   Total Monde</v>
      </c>
      <c r="C152" s="1">
        <v>8000</v>
      </c>
      <c r="D152" s="1">
        <v>1200000</v>
      </c>
    </row>
    <row r="153" spans="1:4" s="6" customFormat="1" x14ac:dyDescent="0.25">
      <c r="A153" s="6" t="str">
        <f>T("091010")</f>
        <v>091010</v>
      </c>
      <c r="B153" s="6" t="str">
        <f>T("Gingembre")</f>
        <v>Gingembre</v>
      </c>
      <c r="C153" s="1"/>
      <c r="D153" s="1"/>
    </row>
    <row r="154" spans="1:4" x14ac:dyDescent="0.25">
      <c r="B154" t="str">
        <f>T("   Egypte")</f>
        <v xml:space="preserve">   Egypte</v>
      </c>
      <c r="C154" s="2">
        <v>18000</v>
      </c>
      <c r="D154" s="2">
        <v>3600000</v>
      </c>
    </row>
    <row r="155" spans="1:4" x14ac:dyDescent="0.25">
      <c r="B155" t="str">
        <f>T("   Maroc")</f>
        <v xml:space="preserve">   Maroc</v>
      </c>
      <c r="C155" s="2">
        <v>266879</v>
      </c>
      <c r="D155" s="2">
        <v>27573066</v>
      </c>
    </row>
    <row r="156" spans="1:4" s="6" customFormat="1" x14ac:dyDescent="0.25">
      <c r="B156" s="6" t="str">
        <f>T("   Total Monde")</f>
        <v xml:space="preserve">   Total Monde</v>
      </c>
      <c r="C156" s="1">
        <v>284879</v>
      </c>
      <c r="D156" s="1">
        <v>31173066</v>
      </c>
    </row>
    <row r="157" spans="1:4" s="6" customFormat="1" x14ac:dyDescent="0.25">
      <c r="A157" s="6" t="str">
        <f>T("100110")</f>
        <v>100110</v>
      </c>
      <c r="B157" s="6" t="str">
        <f>T("Froment (ble) dur")</f>
        <v>Froment (ble) dur</v>
      </c>
      <c r="C157" s="1"/>
      <c r="D157" s="1"/>
    </row>
    <row r="158" spans="1:4" x14ac:dyDescent="0.25">
      <c r="B158" t="str">
        <f>T("   Burkina Faso")</f>
        <v xml:space="preserve">   Burkina Faso</v>
      </c>
      <c r="C158" s="2">
        <v>600000</v>
      </c>
      <c r="D158" s="2">
        <v>139839798</v>
      </c>
    </row>
    <row r="159" spans="1:4" x14ac:dyDescent="0.25">
      <c r="B159" t="str">
        <f>T("   Niger")</f>
        <v xml:space="preserve">   Niger</v>
      </c>
      <c r="C159" s="2">
        <v>513590</v>
      </c>
      <c r="D159" s="2">
        <v>106115556</v>
      </c>
    </row>
    <row r="160" spans="1:4" s="6" customFormat="1" x14ac:dyDescent="0.25">
      <c r="B160" s="6" t="str">
        <f>T("   Total Monde")</f>
        <v xml:space="preserve">   Total Monde</v>
      </c>
      <c r="C160" s="1">
        <v>1113590</v>
      </c>
      <c r="D160" s="1">
        <v>245955354</v>
      </c>
    </row>
    <row r="161" spans="1:4" s="6" customFormat="1" x14ac:dyDescent="0.25">
      <c r="A161" s="6" t="str">
        <f>T("100590")</f>
        <v>100590</v>
      </c>
      <c r="B161" s="6" t="str">
        <f>T("AUTRE")</f>
        <v>AUTRE</v>
      </c>
      <c r="C161" s="1"/>
      <c r="D161" s="1"/>
    </row>
    <row r="162" spans="1:4" x14ac:dyDescent="0.25">
      <c r="B162" t="str">
        <f>T("   Congo (Brazzaville)")</f>
        <v xml:space="preserve">   Congo (Brazzaville)</v>
      </c>
      <c r="C162" s="2">
        <v>200</v>
      </c>
      <c r="D162" s="2">
        <v>50000</v>
      </c>
    </row>
    <row r="163" spans="1:4" x14ac:dyDescent="0.25">
      <c r="B163" t="str">
        <f>T("   Gabon")</f>
        <v xml:space="preserve">   Gabon</v>
      </c>
      <c r="C163" s="2">
        <v>5600</v>
      </c>
      <c r="D163" s="2">
        <v>969000</v>
      </c>
    </row>
    <row r="164" spans="1:4" s="6" customFormat="1" x14ac:dyDescent="0.25">
      <c r="B164" s="6" t="str">
        <f>T("   Total Monde")</f>
        <v xml:space="preserve">   Total Monde</v>
      </c>
      <c r="C164" s="1">
        <v>5800</v>
      </c>
      <c r="D164" s="1">
        <v>1019000</v>
      </c>
    </row>
    <row r="165" spans="1:4" s="6" customFormat="1" x14ac:dyDescent="0.25">
      <c r="A165" s="6" t="str">
        <f>T("100630")</f>
        <v>100630</v>
      </c>
      <c r="B165" s="6" t="str">
        <f>T("RIZ SEMIBLANCHI OU BLANCHI, MEME POLI OU GLACE")</f>
        <v>RIZ SEMIBLANCHI OU BLANCHI, MEME POLI OU GLACE</v>
      </c>
      <c r="C165" s="1"/>
      <c r="D165" s="1"/>
    </row>
    <row r="166" spans="1:4" x14ac:dyDescent="0.25">
      <c r="B166" t="str">
        <f>T("   Belgique")</f>
        <v xml:space="preserve">   Belgique</v>
      </c>
      <c r="C166" s="2">
        <v>12000</v>
      </c>
      <c r="D166" s="2">
        <v>6848222</v>
      </c>
    </row>
    <row r="167" spans="1:4" x14ac:dyDescent="0.25">
      <c r="B167" t="str">
        <f>T("   Ghana")</f>
        <v xml:space="preserve">   Ghana</v>
      </c>
      <c r="C167" s="2">
        <v>270147</v>
      </c>
      <c r="D167" s="2">
        <v>64174114</v>
      </c>
    </row>
    <row r="168" spans="1:4" x14ac:dyDescent="0.25">
      <c r="B168" t="str">
        <f>T("   Libéria")</f>
        <v xml:space="preserve">   Libéria</v>
      </c>
      <c r="C168" s="2">
        <v>2637</v>
      </c>
      <c r="D168" s="2">
        <v>527400000</v>
      </c>
    </row>
    <row r="169" spans="1:4" x14ac:dyDescent="0.25">
      <c r="B169" t="str">
        <f>T("   Nigéria")</f>
        <v xml:space="preserve">   Nigéria</v>
      </c>
      <c r="C169" s="2">
        <v>5896000</v>
      </c>
      <c r="D169" s="2">
        <v>589600000</v>
      </c>
    </row>
    <row r="170" spans="1:4" x14ac:dyDescent="0.25">
      <c r="B170" t="str">
        <f>T("   Sierra Leone")</f>
        <v xml:space="preserve">   Sierra Leone</v>
      </c>
      <c r="C170" s="2">
        <v>4366</v>
      </c>
      <c r="D170" s="2">
        <v>873200000</v>
      </c>
    </row>
    <row r="171" spans="1:4" s="6" customFormat="1" x14ac:dyDescent="0.25">
      <c r="B171" s="6" t="str">
        <f>T("   Total Monde")</f>
        <v xml:space="preserve">   Total Monde</v>
      </c>
      <c r="C171" s="1">
        <v>6185150</v>
      </c>
      <c r="D171" s="1">
        <v>2061222336</v>
      </c>
    </row>
    <row r="172" spans="1:4" s="6" customFormat="1" x14ac:dyDescent="0.25">
      <c r="A172" s="6" t="str">
        <f>T("100890")</f>
        <v>100890</v>
      </c>
      <c r="B172" s="6" t="str">
        <f>T("Autres cereales")</f>
        <v>Autres cereales</v>
      </c>
      <c r="C172" s="1"/>
      <c r="D172" s="1"/>
    </row>
    <row r="173" spans="1:4" x14ac:dyDescent="0.25">
      <c r="B173" t="str">
        <f>T("   Congo (Brazzaville)")</f>
        <v xml:space="preserve">   Congo (Brazzaville)</v>
      </c>
      <c r="C173" s="2">
        <v>3000</v>
      </c>
      <c r="D173" s="2">
        <v>975000</v>
      </c>
    </row>
    <row r="174" spans="1:4" x14ac:dyDescent="0.25">
      <c r="B174" t="str">
        <f>T("   Guinée Equatoriale")</f>
        <v xml:space="preserve">   Guinée Equatoriale</v>
      </c>
      <c r="C174" s="2">
        <v>2000</v>
      </c>
      <c r="D174" s="2">
        <v>2500000</v>
      </c>
    </row>
    <row r="175" spans="1:4" s="6" customFormat="1" x14ac:dyDescent="0.25">
      <c r="B175" s="6" t="str">
        <f>T("   Total Monde")</f>
        <v xml:space="preserve">   Total Monde</v>
      </c>
      <c r="C175" s="1">
        <v>5000</v>
      </c>
      <c r="D175" s="1">
        <v>3475000</v>
      </c>
    </row>
    <row r="176" spans="1:4" s="6" customFormat="1" x14ac:dyDescent="0.25">
      <c r="A176" s="6" t="str">
        <f>T("110100")</f>
        <v>110100</v>
      </c>
      <c r="B176" s="6" t="str">
        <f>T("FARINES DE FROMENT (BLE) OU DE METEIL.")</f>
        <v>FARINES DE FROMENT (BLE) OU DE METEIL.</v>
      </c>
      <c r="C176" s="1"/>
      <c r="D176" s="1"/>
    </row>
    <row r="177" spans="1:4" x14ac:dyDescent="0.25">
      <c r="B177" t="str">
        <f>T("   Burkina Faso")</f>
        <v xml:space="preserve">   Burkina Faso</v>
      </c>
      <c r="C177" s="2">
        <v>600000</v>
      </c>
      <c r="D177" s="2">
        <v>139839798</v>
      </c>
    </row>
    <row r="178" spans="1:4" s="6" customFormat="1" x14ac:dyDescent="0.25">
      <c r="B178" s="6" t="str">
        <f>T("   Total Monde")</f>
        <v xml:space="preserve">   Total Monde</v>
      </c>
      <c r="C178" s="1">
        <v>600000</v>
      </c>
      <c r="D178" s="1">
        <v>139839798</v>
      </c>
    </row>
    <row r="179" spans="1:4" s="6" customFormat="1" x14ac:dyDescent="0.25">
      <c r="A179" s="6" t="str">
        <f>T("110220")</f>
        <v>110220</v>
      </c>
      <c r="B179" s="6" t="str">
        <f>T("Farine de mais")</f>
        <v>Farine de mais</v>
      </c>
      <c r="C179" s="1"/>
      <c r="D179" s="1"/>
    </row>
    <row r="180" spans="1:4" x14ac:dyDescent="0.25">
      <c r="B180" t="str">
        <f>T("   Congo (Brazzaville)")</f>
        <v xml:space="preserve">   Congo (Brazzaville)</v>
      </c>
      <c r="C180" s="2">
        <v>600</v>
      </c>
      <c r="D180" s="2">
        <v>90000</v>
      </c>
    </row>
    <row r="181" spans="1:4" s="6" customFormat="1" x14ac:dyDescent="0.25">
      <c r="B181" s="6" t="str">
        <f>T("   Total Monde")</f>
        <v xml:space="preserve">   Total Monde</v>
      </c>
      <c r="C181" s="1">
        <v>600</v>
      </c>
      <c r="D181" s="1">
        <v>90000</v>
      </c>
    </row>
    <row r="182" spans="1:4" s="6" customFormat="1" x14ac:dyDescent="0.25">
      <c r="A182" s="6" t="str">
        <f>T("110290")</f>
        <v>110290</v>
      </c>
      <c r="B182" s="6" t="str">
        <f>T("AUTRES")</f>
        <v>AUTRES</v>
      </c>
      <c r="C182" s="1"/>
      <c r="D182" s="1"/>
    </row>
    <row r="183" spans="1:4" x14ac:dyDescent="0.25">
      <c r="B183" t="str">
        <f>T("   France")</f>
        <v xml:space="preserve">   France</v>
      </c>
      <c r="C183" s="2">
        <v>5000</v>
      </c>
      <c r="D183" s="2">
        <v>1000000</v>
      </c>
    </row>
    <row r="184" spans="1:4" x14ac:dyDescent="0.25">
      <c r="B184" t="str">
        <f>T("   Guinée")</f>
        <v xml:space="preserve">   Guinée</v>
      </c>
      <c r="C184" s="2">
        <v>1201922</v>
      </c>
      <c r="D184" s="2">
        <v>679436493</v>
      </c>
    </row>
    <row r="185" spans="1:4" x14ac:dyDescent="0.25">
      <c r="B185" t="str">
        <f>T("   Libéria")</f>
        <v xml:space="preserve">   Libéria</v>
      </c>
      <c r="C185" s="2">
        <v>192147</v>
      </c>
      <c r="D185" s="2">
        <v>93105150</v>
      </c>
    </row>
    <row r="186" spans="1:4" s="6" customFormat="1" x14ac:dyDescent="0.25">
      <c r="B186" s="6" t="str">
        <f>T("   Total Monde")</f>
        <v xml:space="preserve">   Total Monde</v>
      </c>
      <c r="C186" s="1">
        <v>1399069</v>
      </c>
      <c r="D186" s="1">
        <v>773541643</v>
      </c>
    </row>
    <row r="187" spans="1:4" s="6" customFormat="1" x14ac:dyDescent="0.25">
      <c r="A187" s="6" t="str">
        <f>T("110311")</f>
        <v>110311</v>
      </c>
      <c r="B187" s="6" t="str">
        <f>T("DE FROMENT (BLE)")</f>
        <v>DE FROMENT (BLE)</v>
      </c>
      <c r="C187" s="1"/>
      <c r="D187" s="1"/>
    </row>
    <row r="188" spans="1:4" x14ac:dyDescent="0.25">
      <c r="B188" t="str">
        <f>T("   France")</f>
        <v xml:space="preserve">   France</v>
      </c>
      <c r="C188" s="2">
        <v>470000</v>
      </c>
      <c r="D188" s="2">
        <v>138587030</v>
      </c>
    </row>
    <row r="189" spans="1:4" x14ac:dyDescent="0.25">
      <c r="B189" t="str">
        <f>T("   Gabon")</f>
        <v xml:space="preserve">   Gabon</v>
      </c>
      <c r="C189" s="2">
        <v>82086</v>
      </c>
      <c r="D189" s="2">
        <v>25728050</v>
      </c>
    </row>
    <row r="190" spans="1:4" x14ac:dyDescent="0.25">
      <c r="B190" t="str">
        <f>T("   Niger")</f>
        <v xml:space="preserve">   Niger</v>
      </c>
      <c r="C190" s="2">
        <v>284124</v>
      </c>
      <c r="D190" s="2">
        <v>90287687</v>
      </c>
    </row>
    <row r="191" spans="1:4" x14ac:dyDescent="0.25">
      <c r="B191" t="str">
        <f>T("   Nigéria")</f>
        <v xml:space="preserve">   Nigéria</v>
      </c>
      <c r="C191" s="2">
        <v>95500</v>
      </c>
      <c r="D191" s="2">
        <v>30379834</v>
      </c>
    </row>
    <row r="192" spans="1:4" s="6" customFormat="1" x14ac:dyDescent="0.25">
      <c r="B192" s="6" t="str">
        <f>T("   Total Monde")</f>
        <v xml:space="preserve">   Total Monde</v>
      </c>
      <c r="C192" s="1">
        <v>931710</v>
      </c>
      <c r="D192" s="1">
        <v>284982601</v>
      </c>
    </row>
    <row r="193" spans="1:4" s="6" customFormat="1" x14ac:dyDescent="0.25">
      <c r="A193" s="6" t="str">
        <f>T("110423")</f>
        <v>110423</v>
      </c>
      <c r="B193" s="6" t="str">
        <f>T("DE MAIS")</f>
        <v>DE MAIS</v>
      </c>
      <c r="C193" s="1"/>
      <c r="D193" s="1"/>
    </row>
    <row r="194" spans="1:4" x14ac:dyDescent="0.25">
      <c r="B194" t="str">
        <f>T("   Niger")</f>
        <v xml:space="preserve">   Niger</v>
      </c>
      <c r="C194" s="2">
        <v>315000</v>
      </c>
      <c r="D194" s="2">
        <v>105265000</v>
      </c>
    </row>
    <row r="195" spans="1:4" s="6" customFormat="1" x14ac:dyDescent="0.25">
      <c r="B195" s="6" t="str">
        <f>T("   Total Monde")</f>
        <v xml:space="preserve">   Total Monde</v>
      </c>
      <c r="C195" s="1">
        <v>315000</v>
      </c>
      <c r="D195" s="1">
        <v>105265000</v>
      </c>
    </row>
    <row r="196" spans="1:4" s="6" customFormat="1" x14ac:dyDescent="0.25">
      <c r="A196" s="6" t="str">
        <f>T("110510")</f>
        <v>110510</v>
      </c>
      <c r="B196" s="6" t="str">
        <f>T("FARINE, SEMOULE ET POUDRE")</f>
        <v>FARINE, SEMOULE ET POUDRE</v>
      </c>
      <c r="C196" s="1"/>
      <c r="D196" s="1"/>
    </row>
    <row r="197" spans="1:4" x14ac:dyDescent="0.25">
      <c r="B197" t="str">
        <f>T("   Congo (Brazzaville)")</f>
        <v xml:space="preserve">   Congo (Brazzaville)</v>
      </c>
      <c r="C197" s="2">
        <v>400</v>
      </c>
      <c r="D197" s="2">
        <v>80000</v>
      </c>
    </row>
    <row r="198" spans="1:4" s="6" customFormat="1" x14ac:dyDescent="0.25">
      <c r="B198" s="6" t="str">
        <f>T("   Total Monde")</f>
        <v xml:space="preserve">   Total Monde</v>
      </c>
      <c r="C198" s="1">
        <v>400</v>
      </c>
      <c r="D198" s="1">
        <v>80000</v>
      </c>
    </row>
    <row r="199" spans="1:4" s="6" customFormat="1" x14ac:dyDescent="0.25">
      <c r="A199" s="6" t="str">
        <f>T("110620")</f>
        <v>110620</v>
      </c>
      <c r="B199" s="6" t="str">
        <f>T("DE SAGOU OU DES RACINES OU TUBERCULES DU N° 07.14")</f>
        <v>DE SAGOU OU DES RACINES OU TUBERCULES DU N° 07.14</v>
      </c>
      <c r="C199" s="1"/>
      <c r="D199" s="1"/>
    </row>
    <row r="200" spans="1:4" x14ac:dyDescent="0.25">
      <c r="B200" t="str">
        <f>T("   Congo, République Démocratique")</f>
        <v xml:space="preserve">   Congo, République Démocratique</v>
      </c>
      <c r="C200" s="2">
        <v>21200</v>
      </c>
      <c r="D200" s="2">
        <v>3576000</v>
      </c>
    </row>
    <row r="201" spans="1:4" x14ac:dyDescent="0.25">
      <c r="B201" t="str">
        <f>T("   Congo (Brazzaville)")</f>
        <v xml:space="preserve">   Congo (Brazzaville)</v>
      </c>
      <c r="C201" s="2">
        <v>102300</v>
      </c>
      <c r="D201" s="2">
        <v>9010000</v>
      </c>
    </row>
    <row r="202" spans="1:4" x14ac:dyDescent="0.25">
      <c r="B202" t="str">
        <f>T("   France")</f>
        <v xml:space="preserve">   France</v>
      </c>
      <c r="C202" s="2">
        <v>138580</v>
      </c>
      <c r="D202" s="2">
        <v>23658199</v>
      </c>
    </row>
    <row r="203" spans="1:4" x14ac:dyDescent="0.25">
      <c r="B203" t="str">
        <f>T("   Gabon")</f>
        <v xml:space="preserve">   Gabon</v>
      </c>
      <c r="C203" s="2">
        <v>33530</v>
      </c>
      <c r="D203" s="2">
        <v>7525000</v>
      </c>
    </row>
    <row r="204" spans="1:4" x14ac:dyDescent="0.25">
      <c r="B204" t="str">
        <f>T("   Guinée Equatoriale")</f>
        <v xml:space="preserve">   Guinée Equatoriale</v>
      </c>
      <c r="C204" s="2">
        <v>29400</v>
      </c>
      <c r="D204" s="2">
        <v>3359217</v>
      </c>
    </row>
    <row r="205" spans="1:4" x14ac:dyDescent="0.25">
      <c r="B205" t="str">
        <f>T("   Nigéria")</f>
        <v xml:space="preserve">   Nigéria</v>
      </c>
      <c r="C205" s="2">
        <v>94850</v>
      </c>
      <c r="D205" s="2">
        <v>25010000</v>
      </c>
    </row>
    <row r="206" spans="1:4" x14ac:dyDescent="0.25">
      <c r="B206" t="str">
        <f>T("   Sénégal")</f>
        <v xml:space="preserve">   Sénégal</v>
      </c>
      <c r="C206" s="2">
        <v>13150</v>
      </c>
      <c r="D206" s="2">
        <v>3287500</v>
      </c>
    </row>
    <row r="207" spans="1:4" x14ac:dyDescent="0.25">
      <c r="B207" t="str">
        <f>T("   Etats-Unis")</f>
        <v xml:space="preserve">   Etats-Unis</v>
      </c>
      <c r="C207" s="2">
        <v>22490</v>
      </c>
      <c r="D207" s="2">
        <v>3486225</v>
      </c>
    </row>
    <row r="208" spans="1:4" s="6" customFormat="1" x14ac:dyDescent="0.25">
      <c r="B208" s="6" t="str">
        <f>T("   Total Monde")</f>
        <v xml:space="preserve">   Total Monde</v>
      </c>
      <c r="C208" s="1">
        <v>455500</v>
      </c>
      <c r="D208" s="1">
        <v>78912141</v>
      </c>
    </row>
    <row r="209" spans="1:4" s="6" customFormat="1" x14ac:dyDescent="0.25">
      <c r="A209" s="6" t="str">
        <f>T("110630")</f>
        <v>110630</v>
      </c>
      <c r="B209" s="6" t="str">
        <f>T("DES PRODUITS DU CHAPITRE 8")</f>
        <v>DES PRODUITS DU CHAPITRE 8</v>
      </c>
      <c r="C209" s="1"/>
      <c r="D209" s="1"/>
    </row>
    <row r="210" spans="1:4" x14ac:dyDescent="0.25">
      <c r="B210" t="str">
        <f>T("   Etats-Unis")</f>
        <v xml:space="preserve">   Etats-Unis</v>
      </c>
      <c r="C210" s="2">
        <v>6136</v>
      </c>
      <c r="D210" s="2">
        <v>18008490</v>
      </c>
    </row>
    <row r="211" spans="1:4" s="6" customFormat="1" x14ac:dyDescent="0.25">
      <c r="B211" s="6" t="str">
        <f>T("   Total Monde")</f>
        <v xml:space="preserve">   Total Monde</v>
      </c>
      <c r="C211" s="1">
        <v>6136</v>
      </c>
      <c r="D211" s="1">
        <v>18008490</v>
      </c>
    </row>
    <row r="212" spans="1:4" s="6" customFormat="1" x14ac:dyDescent="0.25">
      <c r="A212" s="6" t="str">
        <f>T("110710")</f>
        <v>110710</v>
      </c>
      <c r="B212" s="6" t="str">
        <f>T("NON TORREFIE")</f>
        <v>NON TORREFIE</v>
      </c>
      <c r="C212" s="1"/>
      <c r="D212" s="1"/>
    </row>
    <row r="213" spans="1:4" x14ac:dyDescent="0.25">
      <c r="B213" t="str">
        <f>T("   Togo")</f>
        <v xml:space="preserve">   Togo</v>
      </c>
      <c r="C213" s="2">
        <v>100380</v>
      </c>
      <c r="D213" s="2">
        <v>46000000</v>
      </c>
    </row>
    <row r="214" spans="1:4" s="6" customFormat="1" x14ac:dyDescent="0.25">
      <c r="B214" s="6" t="str">
        <f>T("   Total Monde")</f>
        <v xml:space="preserve">   Total Monde</v>
      </c>
      <c r="C214" s="1">
        <v>100380</v>
      </c>
      <c r="D214" s="1">
        <v>46000000</v>
      </c>
    </row>
    <row r="215" spans="1:4" s="6" customFormat="1" x14ac:dyDescent="0.25">
      <c r="A215" s="6" t="str">
        <f>T("110720")</f>
        <v>110720</v>
      </c>
      <c r="B215" s="6" t="str">
        <f>T("TORREFIE")</f>
        <v>TORREFIE</v>
      </c>
      <c r="C215" s="1"/>
      <c r="D215" s="1"/>
    </row>
    <row r="216" spans="1:4" x14ac:dyDescent="0.25">
      <c r="B216" t="str">
        <f>T("   Togo")</f>
        <v xml:space="preserve">   Togo</v>
      </c>
      <c r="C216" s="2">
        <v>2000</v>
      </c>
      <c r="D216" s="2">
        <v>1888000</v>
      </c>
    </row>
    <row r="217" spans="1:4" s="6" customFormat="1" x14ac:dyDescent="0.25">
      <c r="B217" s="6" t="str">
        <f>T("   Total Monde")</f>
        <v xml:space="preserve">   Total Monde</v>
      </c>
      <c r="C217" s="1">
        <v>2000</v>
      </c>
      <c r="D217" s="1">
        <v>1888000</v>
      </c>
    </row>
    <row r="218" spans="1:4" s="6" customFormat="1" x14ac:dyDescent="0.25">
      <c r="A218" s="6" t="str">
        <f>T("110814")</f>
        <v>110814</v>
      </c>
      <c r="B218" s="6" t="str">
        <f>T("FECULE DE MANIOC (CASSAVE)")</f>
        <v>FECULE DE MANIOC (CASSAVE)</v>
      </c>
      <c r="C218" s="1"/>
      <c r="D218" s="1"/>
    </row>
    <row r="219" spans="1:4" x14ac:dyDescent="0.25">
      <c r="B219" t="str">
        <f>T("   Congo (Brazzaville)")</f>
        <v xml:space="preserve">   Congo (Brazzaville)</v>
      </c>
      <c r="C219" s="2">
        <v>2000</v>
      </c>
      <c r="D219" s="2">
        <v>552500</v>
      </c>
    </row>
    <row r="220" spans="1:4" s="6" customFormat="1" x14ac:dyDescent="0.25">
      <c r="B220" s="6" t="str">
        <f>T("   Total Monde")</f>
        <v xml:space="preserve">   Total Monde</v>
      </c>
      <c r="C220" s="1">
        <v>2000</v>
      </c>
      <c r="D220" s="1">
        <v>552500</v>
      </c>
    </row>
    <row r="221" spans="1:4" s="6" customFormat="1" x14ac:dyDescent="0.25">
      <c r="A221" s="6" t="str">
        <f>T("110819")</f>
        <v>110819</v>
      </c>
      <c r="B221" s="6" t="str">
        <f>T("Autres amidons et fecules")</f>
        <v>Autres amidons et fecules</v>
      </c>
      <c r="C221" s="1"/>
      <c r="D221" s="1"/>
    </row>
    <row r="222" spans="1:4" x14ac:dyDescent="0.25">
      <c r="B222" t="str">
        <f>T("   Congo (Brazzaville)")</f>
        <v xml:space="preserve">   Congo (Brazzaville)</v>
      </c>
      <c r="C222" s="2">
        <v>400</v>
      </c>
      <c r="D222" s="2">
        <v>80000</v>
      </c>
    </row>
    <row r="223" spans="1:4" s="6" customFormat="1" x14ac:dyDescent="0.25">
      <c r="B223" s="6" t="str">
        <f>T("   Total Monde")</f>
        <v xml:space="preserve">   Total Monde</v>
      </c>
      <c r="C223" s="1">
        <v>400</v>
      </c>
      <c r="D223" s="1">
        <v>80000</v>
      </c>
    </row>
    <row r="224" spans="1:4" s="6" customFormat="1" x14ac:dyDescent="0.25">
      <c r="A224" s="6" t="str">
        <f>T("120100")</f>
        <v>120100</v>
      </c>
      <c r="B224" s="6" t="str">
        <f>T("Feves de soja,meme concassees")</f>
        <v>Feves de soja,meme concassees</v>
      </c>
      <c r="C224" s="1"/>
      <c r="D224" s="1"/>
    </row>
    <row r="225" spans="1:4" x14ac:dyDescent="0.25">
      <c r="B225" t="str">
        <f>T("   Chine")</f>
        <v xml:space="preserve">   Chine</v>
      </c>
      <c r="C225" s="2">
        <v>131080</v>
      </c>
      <c r="D225" s="2">
        <v>22939000</v>
      </c>
    </row>
    <row r="226" spans="1:4" x14ac:dyDescent="0.25">
      <c r="B226" t="str">
        <f>T("   Inde")</f>
        <v xml:space="preserve">   Inde</v>
      </c>
      <c r="C226" s="2">
        <v>406573</v>
      </c>
      <c r="D226" s="2">
        <v>81314600</v>
      </c>
    </row>
    <row r="227" spans="1:4" x14ac:dyDescent="0.25">
      <c r="B227" t="str">
        <f>T("   Afrique du Sud")</f>
        <v xml:space="preserve">   Afrique du Sud</v>
      </c>
      <c r="C227" s="2">
        <v>1136757</v>
      </c>
      <c r="D227" s="2">
        <v>227351400</v>
      </c>
    </row>
    <row r="228" spans="1:4" s="6" customFormat="1" x14ac:dyDescent="0.25">
      <c r="B228" s="6" t="str">
        <f>T("   Total Monde")</f>
        <v xml:space="preserve">   Total Monde</v>
      </c>
      <c r="C228" s="1">
        <v>1674410</v>
      </c>
      <c r="D228" s="1">
        <v>331605000</v>
      </c>
    </row>
    <row r="229" spans="1:4" s="6" customFormat="1" x14ac:dyDescent="0.25">
      <c r="A229" s="6" t="str">
        <f>T("120210")</f>
        <v>120210</v>
      </c>
      <c r="B229" s="6" t="str">
        <f>T("ARACHIDES,NON GRILLEES,EN COQUES")</f>
        <v>ARACHIDES,NON GRILLEES,EN COQUES</v>
      </c>
      <c r="C229" s="1"/>
      <c r="D229" s="1"/>
    </row>
    <row r="230" spans="1:4" x14ac:dyDescent="0.25">
      <c r="B230" t="str">
        <f>T("   France")</f>
        <v xml:space="preserve">   France</v>
      </c>
      <c r="C230" s="2">
        <v>6000</v>
      </c>
      <c r="D230" s="2">
        <v>3877085</v>
      </c>
    </row>
    <row r="231" spans="1:4" s="6" customFormat="1" x14ac:dyDescent="0.25">
      <c r="B231" s="6" t="str">
        <f>T("   Total Monde")</f>
        <v xml:space="preserve">   Total Monde</v>
      </c>
      <c r="C231" s="1">
        <v>6000</v>
      </c>
      <c r="D231" s="1">
        <v>3877085</v>
      </c>
    </row>
    <row r="232" spans="1:4" s="6" customFormat="1" x14ac:dyDescent="0.25">
      <c r="A232" s="6" t="str">
        <f>T("120590")</f>
        <v>120590</v>
      </c>
      <c r="B232" s="6" t="str">
        <f>T("AUTRES")</f>
        <v>AUTRES</v>
      </c>
      <c r="C232" s="1"/>
      <c r="D232" s="1"/>
    </row>
    <row r="233" spans="1:4" x14ac:dyDescent="0.25">
      <c r="B233" t="str">
        <f>T("   Ghana")</f>
        <v xml:space="preserve">   Ghana</v>
      </c>
      <c r="C233" s="2">
        <v>1050</v>
      </c>
      <c r="D233" s="2">
        <v>125943744</v>
      </c>
    </row>
    <row r="234" spans="1:4" x14ac:dyDescent="0.25">
      <c r="B234" t="str">
        <f>T("   Maroc")</f>
        <v xml:space="preserve">   Maroc</v>
      </c>
      <c r="C234" s="2">
        <v>10000</v>
      </c>
      <c r="D234" s="2">
        <v>1000000</v>
      </c>
    </row>
    <row r="235" spans="1:4" s="6" customFormat="1" x14ac:dyDescent="0.25">
      <c r="B235" s="6" t="str">
        <f>T("   Total Monde")</f>
        <v xml:space="preserve">   Total Monde</v>
      </c>
      <c r="C235" s="1">
        <v>11050</v>
      </c>
      <c r="D235" s="1">
        <v>126943744</v>
      </c>
    </row>
    <row r="236" spans="1:4" s="6" customFormat="1" x14ac:dyDescent="0.25">
      <c r="A236" s="6" t="str">
        <f>T("120720")</f>
        <v>120720</v>
      </c>
      <c r="B236" s="6" t="str">
        <f>T("GRAINES DE COTON,MEME CONCASSEES")</f>
        <v>GRAINES DE COTON,MEME CONCASSEES</v>
      </c>
      <c r="C236" s="1"/>
      <c r="D236" s="1"/>
    </row>
    <row r="237" spans="1:4" x14ac:dyDescent="0.25">
      <c r="B237" t="str">
        <f>T("   Côte d'Ivoire")</f>
        <v xml:space="preserve">   Côte d'Ivoire</v>
      </c>
      <c r="C237" s="2">
        <v>400000</v>
      </c>
      <c r="D237" s="2">
        <v>120000000</v>
      </c>
    </row>
    <row r="238" spans="1:4" x14ac:dyDescent="0.25">
      <c r="B238" t="str">
        <f>T("   Italie")</f>
        <v xml:space="preserve">   Italie</v>
      </c>
      <c r="C238" s="2">
        <v>617746</v>
      </c>
      <c r="D238" s="2">
        <v>64863330</v>
      </c>
    </row>
    <row r="239" spans="1:4" x14ac:dyDescent="0.25">
      <c r="B239" t="str">
        <f>T("   Corée, République de")</f>
        <v xml:space="preserve">   Corée, République de</v>
      </c>
      <c r="C239" s="2">
        <v>500062</v>
      </c>
      <c r="D239" s="2">
        <v>37504650</v>
      </c>
    </row>
    <row r="240" spans="1:4" x14ac:dyDescent="0.25">
      <c r="B240" t="str">
        <f>T("   Nigéria")</f>
        <v xml:space="preserve">   Nigéria</v>
      </c>
      <c r="C240" s="2">
        <v>40000</v>
      </c>
      <c r="D240" s="2">
        <v>8000000</v>
      </c>
    </row>
    <row r="241" spans="1:4" x14ac:dyDescent="0.25">
      <c r="B241" t="str">
        <f>T("   Arabie Saoudite")</f>
        <v xml:space="preserve">   Arabie Saoudite</v>
      </c>
      <c r="C241" s="2">
        <v>999600</v>
      </c>
      <c r="D241" s="2">
        <v>104958000</v>
      </c>
    </row>
    <row r="242" spans="1:4" s="6" customFormat="1" x14ac:dyDescent="0.25">
      <c r="B242" s="6" t="str">
        <f>T("   Total Monde")</f>
        <v xml:space="preserve">   Total Monde</v>
      </c>
      <c r="C242" s="1">
        <v>2557408</v>
      </c>
      <c r="D242" s="1">
        <v>335325980</v>
      </c>
    </row>
    <row r="243" spans="1:4" s="6" customFormat="1" x14ac:dyDescent="0.25">
      <c r="A243" s="6" t="str">
        <f>T("120740")</f>
        <v>120740</v>
      </c>
      <c r="B243" s="6" t="str">
        <f>T("GRAINES DE SESAME")</f>
        <v>GRAINES DE SESAME</v>
      </c>
      <c r="C243" s="1"/>
      <c r="D243" s="1"/>
    </row>
    <row r="244" spans="1:4" x14ac:dyDescent="0.25">
      <c r="B244" t="str">
        <f>T("   Chine")</f>
        <v xml:space="preserve">   Chine</v>
      </c>
      <c r="C244" s="2">
        <v>668250</v>
      </c>
      <c r="D244" s="2">
        <v>129918000</v>
      </c>
    </row>
    <row r="245" spans="1:4" x14ac:dyDescent="0.25">
      <c r="B245" t="str">
        <f>T("   Hong-Kong")</f>
        <v xml:space="preserve">   Hong-Kong</v>
      </c>
      <c r="C245" s="2">
        <v>197340</v>
      </c>
      <c r="D245" s="2">
        <v>98670000</v>
      </c>
    </row>
    <row r="246" spans="1:4" x14ac:dyDescent="0.25">
      <c r="B246" t="str">
        <f>T("   Inde")</f>
        <v xml:space="preserve">   Inde</v>
      </c>
      <c r="C246" s="2">
        <v>210000</v>
      </c>
      <c r="D246" s="2">
        <v>21000000</v>
      </c>
    </row>
    <row r="247" spans="1:4" x14ac:dyDescent="0.25">
      <c r="B247" t="str">
        <f>T("   Liban")</f>
        <v xml:space="preserve">   Liban</v>
      </c>
      <c r="C247" s="2">
        <v>35500</v>
      </c>
      <c r="D247" s="2">
        <v>5680000</v>
      </c>
    </row>
    <row r="248" spans="1:4" s="6" customFormat="1" x14ac:dyDescent="0.25">
      <c r="B248" s="6" t="str">
        <f>T("   Total Monde")</f>
        <v xml:space="preserve">   Total Monde</v>
      </c>
      <c r="C248" s="1">
        <v>1111090</v>
      </c>
      <c r="D248" s="1">
        <v>255268000</v>
      </c>
    </row>
    <row r="249" spans="1:4" s="6" customFormat="1" x14ac:dyDescent="0.25">
      <c r="A249" s="6" t="str">
        <f>T("120799")</f>
        <v>120799</v>
      </c>
      <c r="B249" s="6" t="str">
        <f>T("AUTRES")</f>
        <v>AUTRES</v>
      </c>
      <c r="C249" s="1"/>
      <c r="D249" s="1"/>
    </row>
    <row r="250" spans="1:4" x14ac:dyDescent="0.25">
      <c r="B250" t="str">
        <f>T("   Centrafricaine, République")</f>
        <v xml:space="preserve">   Centrafricaine, République</v>
      </c>
      <c r="C250" s="2">
        <v>63</v>
      </c>
      <c r="D250" s="2">
        <v>7215527</v>
      </c>
    </row>
    <row r="251" spans="1:4" x14ac:dyDescent="0.25">
      <c r="B251" t="str">
        <f>T("   Espagne")</f>
        <v xml:space="preserve">   Espagne</v>
      </c>
      <c r="C251" s="2">
        <v>646000</v>
      </c>
      <c r="D251" s="2">
        <v>146200000</v>
      </c>
    </row>
    <row r="252" spans="1:4" x14ac:dyDescent="0.25">
      <c r="B252" t="str">
        <f>T("   Inde")</f>
        <v xml:space="preserve">   Inde</v>
      </c>
      <c r="C252" s="2">
        <v>2584542</v>
      </c>
      <c r="D252" s="2">
        <v>737543299</v>
      </c>
    </row>
    <row r="253" spans="1:4" x14ac:dyDescent="0.25">
      <c r="B253" t="str">
        <f>T("   Malaisie")</f>
        <v xml:space="preserve">   Malaisie</v>
      </c>
      <c r="C253" s="2">
        <v>163992</v>
      </c>
      <c r="D253" s="2">
        <v>29597958</v>
      </c>
    </row>
    <row r="254" spans="1:4" x14ac:dyDescent="0.25">
      <c r="B254" t="str">
        <f>T("   Pays-bas")</f>
        <v xml:space="preserve">   Pays-bas</v>
      </c>
      <c r="C254" s="2">
        <v>67590</v>
      </c>
      <c r="D254" s="2">
        <v>14261672</v>
      </c>
    </row>
    <row r="255" spans="1:4" x14ac:dyDescent="0.25">
      <c r="B255" t="str">
        <f>T("   Pakistan")</f>
        <v xml:space="preserve">   Pakistan</v>
      </c>
      <c r="C255" s="2">
        <v>80691</v>
      </c>
      <c r="D255" s="2">
        <v>1613820</v>
      </c>
    </row>
    <row r="256" spans="1:4" x14ac:dyDescent="0.25">
      <c r="B256" t="str">
        <f>T("   Singapour")</f>
        <v xml:space="preserve">   Singapour</v>
      </c>
      <c r="C256" s="2">
        <v>287150</v>
      </c>
      <c r="D256" s="2">
        <v>5743000</v>
      </c>
    </row>
    <row r="257" spans="1:4" x14ac:dyDescent="0.25">
      <c r="B257" t="str">
        <f>T("   Thaïlande")</f>
        <v xml:space="preserve">   Thaïlande</v>
      </c>
      <c r="C257" s="2">
        <v>129913</v>
      </c>
      <c r="D257" s="2">
        <v>2598260</v>
      </c>
    </row>
    <row r="258" spans="1:4" x14ac:dyDescent="0.25">
      <c r="B258" t="str">
        <f>T("   Turquie")</f>
        <v xml:space="preserve">   Turquie</v>
      </c>
      <c r="C258" s="2">
        <v>10000</v>
      </c>
      <c r="D258" s="2">
        <v>2229600</v>
      </c>
    </row>
    <row r="259" spans="1:4" s="6" customFormat="1" x14ac:dyDescent="0.25">
      <c r="B259" s="6" t="str">
        <f>T("   Total Monde")</f>
        <v xml:space="preserve">   Total Monde</v>
      </c>
      <c r="C259" s="1">
        <v>3969941</v>
      </c>
      <c r="D259" s="1">
        <v>947003136</v>
      </c>
    </row>
    <row r="260" spans="1:4" s="6" customFormat="1" x14ac:dyDescent="0.25">
      <c r="A260" s="6" t="str">
        <f>T("120890")</f>
        <v>120890</v>
      </c>
      <c r="B260" s="6" t="str">
        <f>T("AUTRES")</f>
        <v>AUTRES</v>
      </c>
      <c r="C260" s="1"/>
      <c r="D260" s="1"/>
    </row>
    <row r="261" spans="1:4" x14ac:dyDescent="0.25">
      <c r="B261" t="str">
        <f>T("   France")</f>
        <v xml:space="preserve">   France</v>
      </c>
      <c r="C261" s="2">
        <v>4119</v>
      </c>
      <c r="D261" s="2">
        <v>2509000</v>
      </c>
    </row>
    <row r="262" spans="1:4" s="6" customFormat="1" x14ac:dyDescent="0.25">
      <c r="B262" s="6" t="str">
        <f>T("   Total Monde")</f>
        <v xml:space="preserve">   Total Monde</v>
      </c>
      <c r="C262" s="1">
        <v>4119</v>
      </c>
      <c r="D262" s="1">
        <v>2509000</v>
      </c>
    </row>
    <row r="263" spans="1:4" s="6" customFormat="1" x14ac:dyDescent="0.25">
      <c r="A263" s="6" t="str">
        <f>T("121230")</f>
        <v>121230</v>
      </c>
      <c r="B263" s="6" t="str">
        <f>T("NOYAUX,AMANDES D'ABRICOTS,PECHES,PRUNES,DESTINES A L'ALIMENTATION HUMAINE")</f>
        <v>NOYAUX,AMANDES D'ABRICOTS,PECHES,PRUNES,DESTINES A L'ALIMENTATION HUMAINE</v>
      </c>
      <c r="C263" s="1"/>
      <c r="D263" s="1"/>
    </row>
    <row r="264" spans="1:4" x14ac:dyDescent="0.25">
      <c r="B264" t="str">
        <f>T("   Burundi")</f>
        <v xml:space="preserve">   Burundi</v>
      </c>
      <c r="C264" s="2">
        <v>44</v>
      </c>
      <c r="D264" s="2">
        <v>5956089</v>
      </c>
    </row>
    <row r="265" spans="1:4" x14ac:dyDescent="0.25">
      <c r="B265" t="str">
        <f>T("   Congo, République Démocratique")</f>
        <v xml:space="preserve">   Congo, République Démocratique</v>
      </c>
      <c r="C265" s="2">
        <v>172</v>
      </c>
      <c r="D265" s="2">
        <v>18760370</v>
      </c>
    </row>
    <row r="266" spans="1:4" x14ac:dyDescent="0.25">
      <c r="B266" t="str">
        <f>T("   Congo (Brazzaville)")</f>
        <v xml:space="preserve">   Congo (Brazzaville)</v>
      </c>
      <c r="C266" s="2">
        <v>2844</v>
      </c>
      <c r="D266" s="2">
        <v>333718124</v>
      </c>
    </row>
    <row r="267" spans="1:4" x14ac:dyDescent="0.25">
      <c r="B267" t="str">
        <f>T("   Côte d'Ivoire")</f>
        <v xml:space="preserve">   Côte d'Ivoire</v>
      </c>
      <c r="C267" s="2">
        <v>180</v>
      </c>
      <c r="D267" s="2">
        <v>21646581</v>
      </c>
    </row>
    <row r="268" spans="1:4" x14ac:dyDescent="0.25">
      <c r="B268" t="str">
        <f>T("   Chine")</f>
        <v xml:space="preserve">   Chine</v>
      </c>
      <c r="C268" s="2">
        <v>85</v>
      </c>
      <c r="D268" s="2">
        <v>10823291</v>
      </c>
    </row>
    <row r="269" spans="1:4" x14ac:dyDescent="0.25">
      <c r="B269" t="str">
        <f>T("   Colombie")</f>
        <v xml:space="preserve">   Colombie</v>
      </c>
      <c r="C269" s="2">
        <v>44.37</v>
      </c>
      <c r="D269" s="2">
        <v>80000</v>
      </c>
    </row>
    <row r="270" spans="1:4" x14ac:dyDescent="0.25">
      <c r="B270" t="str">
        <f>T("   Equateur")</f>
        <v xml:space="preserve">   Equateur</v>
      </c>
      <c r="C270" s="2">
        <v>25</v>
      </c>
      <c r="D270" s="2">
        <v>20000</v>
      </c>
    </row>
    <row r="271" spans="1:4" x14ac:dyDescent="0.25">
      <c r="B271" t="str">
        <f>T("   Gabon")</f>
        <v xml:space="preserve">   Gabon</v>
      </c>
      <c r="C271" s="2">
        <v>1212</v>
      </c>
      <c r="D271" s="2">
        <v>142093405</v>
      </c>
    </row>
    <row r="272" spans="1:4" x14ac:dyDescent="0.25">
      <c r="B272" t="str">
        <f>T("   Guinée")</f>
        <v xml:space="preserve">   Guinée</v>
      </c>
      <c r="C272" s="2">
        <v>225</v>
      </c>
      <c r="D272" s="2">
        <v>32810969</v>
      </c>
    </row>
    <row r="273" spans="1:4" x14ac:dyDescent="0.25">
      <c r="B273" t="str">
        <f>T("   Indonésie")</f>
        <v xml:space="preserve">   Indonésie</v>
      </c>
      <c r="C273" s="2">
        <v>66</v>
      </c>
      <c r="D273" s="2">
        <v>20000</v>
      </c>
    </row>
    <row r="274" spans="1:4" x14ac:dyDescent="0.25">
      <c r="B274" t="str">
        <f>T("   Liban")</f>
        <v xml:space="preserve">   Liban</v>
      </c>
      <c r="C274" s="2">
        <v>432</v>
      </c>
      <c r="D274" s="2">
        <v>54116454</v>
      </c>
    </row>
    <row r="275" spans="1:4" x14ac:dyDescent="0.25">
      <c r="B275" t="str">
        <f>T("   Libéria")</f>
        <v xml:space="preserve">   Libéria</v>
      </c>
      <c r="C275" s="2">
        <v>3135</v>
      </c>
      <c r="D275" s="2">
        <v>381701387</v>
      </c>
    </row>
    <row r="276" spans="1:4" x14ac:dyDescent="0.25">
      <c r="B276" t="str">
        <f>T("   Madagascar")</f>
        <v xml:space="preserve">   Madagascar</v>
      </c>
      <c r="C276" s="2">
        <v>63</v>
      </c>
      <c r="D276" s="2">
        <v>7215527</v>
      </c>
    </row>
    <row r="277" spans="1:4" x14ac:dyDescent="0.25">
      <c r="B277" t="str">
        <f>T("   Nigéria")</f>
        <v xml:space="preserve">   Nigéria</v>
      </c>
      <c r="C277" s="2">
        <v>2504</v>
      </c>
      <c r="D277" s="2">
        <v>236256034</v>
      </c>
    </row>
    <row r="278" spans="1:4" x14ac:dyDescent="0.25">
      <c r="B278" t="str">
        <f>T("   Sierra Leone")</f>
        <v xml:space="preserve">   Sierra Leone</v>
      </c>
      <c r="C278" s="2">
        <v>180</v>
      </c>
      <c r="D278" s="2">
        <v>19842699</v>
      </c>
    </row>
    <row r="279" spans="1:4" x14ac:dyDescent="0.25">
      <c r="B279" t="str">
        <f>T("   Thaïlande")</f>
        <v xml:space="preserve">   Thaïlande</v>
      </c>
      <c r="C279" s="2">
        <v>1082</v>
      </c>
      <c r="D279" s="2">
        <v>4742890</v>
      </c>
    </row>
    <row r="280" spans="1:4" s="6" customFormat="1" x14ac:dyDescent="0.25">
      <c r="B280" s="6" t="str">
        <f>T("   Total Monde")</f>
        <v xml:space="preserve">   Total Monde</v>
      </c>
      <c r="C280" s="1">
        <v>12293.37</v>
      </c>
      <c r="D280" s="1">
        <v>1269803820</v>
      </c>
    </row>
    <row r="281" spans="1:4" s="6" customFormat="1" x14ac:dyDescent="0.25">
      <c r="A281" s="6" t="str">
        <f>T("121299")</f>
        <v>121299</v>
      </c>
      <c r="B281" s="6" t="str">
        <f>T("AUTRES")</f>
        <v>AUTRES</v>
      </c>
      <c r="C281" s="1"/>
      <c r="D281" s="1"/>
    </row>
    <row r="282" spans="1:4" x14ac:dyDescent="0.25">
      <c r="B282" t="str">
        <f>T("   Espagne")</f>
        <v xml:space="preserve">   Espagne</v>
      </c>
      <c r="C282" s="2">
        <v>117800</v>
      </c>
      <c r="D282" s="2">
        <v>17662500</v>
      </c>
    </row>
    <row r="283" spans="1:4" s="6" customFormat="1" x14ac:dyDescent="0.25">
      <c r="B283" s="6" t="str">
        <f>T("   Total Monde")</f>
        <v xml:space="preserve">   Total Monde</v>
      </c>
      <c r="C283" s="1">
        <v>117800</v>
      </c>
      <c r="D283" s="1">
        <v>17662500</v>
      </c>
    </row>
    <row r="284" spans="1:4" s="6" customFormat="1" x14ac:dyDescent="0.25">
      <c r="A284" s="6" t="str">
        <f>T("140420")</f>
        <v>140420</v>
      </c>
      <c r="B284" s="6" t="str">
        <f>T("Linters de coton")</f>
        <v>Linters de coton</v>
      </c>
      <c r="C284" s="1"/>
      <c r="D284" s="1"/>
    </row>
    <row r="285" spans="1:4" x14ac:dyDescent="0.25">
      <c r="B285" t="str">
        <f>T("   Chine")</f>
        <v xml:space="preserve">   Chine</v>
      </c>
      <c r="C285" s="2">
        <v>1357771</v>
      </c>
      <c r="D285" s="2">
        <v>245460730</v>
      </c>
    </row>
    <row r="286" spans="1:4" s="6" customFormat="1" x14ac:dyDescent="0.25">
      <c r="B286" s="6" t="str">
        <f>T("   Total Monde")</f>
        <v xml:space="preserve">   Total Monde</v>
      </c>
      <c r="C286" s="1">
        <v>1357771</v>
      </c>
      <c r="D286" s="1">
        <v>245460730</v>
      </c>
    </row>
    <row r="287" spans="1:4" s="6" customFormat="1" x14ac:dyDescent="0.25">
      <c r="A287" s="6" t="str">
        <f>T("140490")</f>
        <v>140490</v>
      </c>
      <c r="B287" s="6" t="str">
        <f>T("AUTRES")</f>
        <v>AUTRES</v>
      </c>
      <c r="C287" s="1"/>
      <c r="D287" s="1"/>
    </row>
    <row r="288" spans="1:4" x14ac:dyDescent="0.25">
      <c r="B288" t="str">
        <f>T("   France")</f>
        <v xml:space="preserve">   France</v>
      </c>
      <c r="C288" s="2">
        <v>5000</v>
      </c>
      <c r="D288" s="2">
        <v>739129</v>
      </c>
    </row>
    <row r="289" spans="1:4" s="6" customFormat="1" x14ac:dyDescent="0.25">
      <c r="B289" s="6" t="str">
        <f>T("   Total Monde")</f>
        <v xml:space="preserve">   Total Monde</v>
      </c>
      <c r="C289" s="1">
        <v>5000</v>
      </c>
      <c r="D289" s="1">
        <v>739129</v>
      </c>
    </row>
    <row r="290" spans="1:4" s="6" customFormat="1" x14ac:dyDescent="0.25">
      <c r="A290" s="6" t="str">
        <f>T("150790")</f>
        <v>150790</v>
      </c>
      <c r="B290" s="6" t="str">
        <f>T("AUTRES")</f>
        <v>AUTRES</v>
      </c>
      <c r="C290" s="1"/>
      <c r="D290" s="1"/>
    </row>
    <row r="291" spans="1:4" x14ac:dyDescent="0.25">
      <c r="B291" t="str">
        <f>T("   Nigéria")</f>
        <v xml:space="preserve">   Nigéria</v>
      </c>
      <c r="C291" s="2">
        <v>120920</v>
      </c>
      <c r="D291" s="2">
        <v>54504000</v>
      </c>
    </row>
    <row r="292" spans="1:4" s="6" customFormat="1" x14ac:dyDescent="0.25">
      <c r="B292" s="6" t="str">
        <f>T("   Total Monde")</f>
        <v xml:space="preserve">   Total Monde</v>
      </c>
      <c r="C292" s="1">
        <v>120920</v>
      </c>
      <c r="D292" s="1">
        <v>54504000</v>
      </c>
    </row>
    <row r="293" spans="1:4" s="6" customFormat="1" x14ac:dyDescent="0.25">
      <c r="A293" s="6" t="str">
        <f>T("151110")</f>
        <v>151110</v>
      </c>
      <c r="B293" s="6" t="str">
        <f>T("HUILE BRUTE")</f>
        <v>HUILE BRUTE</v>
      </c>
      <c r="C293" s="1"/>
      <c r="D293" s="1"/>
    </row>
    <row r="294" spans="1:4" x14ac:dyDescent="0.25">
      <c r="B294" t="str">
        <f>T("   Niger")</f>
        <v xml:space="preserve">   Niger</v>
      </c>
      <c r="C294" s="2">
        <v>3709</v>
      </c>
      <c r="D294" s="2">
        <v>2002175</v>
      </c>
    </row>
    <row r="295" spans="1:4" s="6" customFormat="1" x14ac:dyDescent="0.25">
      <c r="B295" s="6" t="str">
        <f>T("   Total Monde")</f>
        <v xml:space="preserve">   Total Monde</v>
      </c>
      <c r="C295" s="1">
        <v>3709</v>
      </c>
      <c r="D295" s="1">
        <v>2002175</v>
      </c>
    </row>
    <row r="296" spans="1:4" s="6" customFormat="1" x14ac:dyDescent="0.25">
      <c r="A296" s="6" t="str">
        <f>T("151190")</f>
        <v>151190</v>
      </c>
      <c r="B296" s="6" t="str">
        <f>T("AUTRES")</f>
        <v>AUTRES</v>
      </c>
      <c r="C296" s="1"/>
      <c r="D296" s="1"/>
    </row>
    <row r="297" spans="1:4" x14ac:dyDescent="0.25">
      <c r="B297" t="str">
        <f>T("   Nigéria")</f>
        <v xml:space="preserve">   Nigéria</v>
      </c>
      <c r="C297" s="2">
        <v>62000</v>
      </c>
      <c r="D297" s="2">
        <v>37730000</v>
      </c>
    </row>
    <row r="298" spans="1:4" x14ac:dyDescent="0.25">
      <c r="B298" t="str">
        <f>T("   Sénégal")</f>
        <v xml:space="preserve">   Sénégal</v>
      </c>
      <c r="C298" s="2">
        <v>300</v>
      </c>
      <c r="D298" s="2">
        <v>900000</v>
      </c>
    </row>
    <row r="299" spans="1:4" s="6" customFormat="1" x14ac:dyDescent="0.25">
      <c r="B299" s="6" t="str">
        <f>T("   Total Monde")</f>
        <v xml:space="preserve">   Total Monde</v>
      </c>
      <c r="C299" s="1">
        <v>62300</v>
      </c>
      <c r="D299" s="1">
        <v>38630000</v>
      </c>
    </row>
    <row r="300" spans="1:4" s="6" customFormat="1" x14ac:dyDescent="0.25">
      <c r="A300" s="6" t="str">
        <f>T("151229")</f>
        <v>151229</v>
      </c>
      <c r="B300" s="6" t="str">
        <f>T("AUTRES")</f>
        <v>AUTRES</v>
      </c>
      <c r="C300" s="1"/>
      <c r="D300" s="1"/>
    </row>
    <row r="301" spans="1:4" x14ac:dyDescent="0.25">
      <c r="B301" t="str">
        <f>T("   Nigéria")</f>
        <v xml:space="preserve">   Nigéria</v>
      </c>
      <c r="C301" s="2">
        <v>4737160</v>
      </c>
      <c r="D301" s="2">
        <v>2752431100</v>
      </c>
    </row>
    <row r="302" spans="1:4" s="6" customFormat="1" x14ac:dyDescent="0.25">
      <c r="B302" s="6" t="str">
        <f>T("   Total Monde")</f>
        <v xml:space="preserve">   Total Monde</v>
      </c>
      <c r="C302" s="1">
        <v>4737160</v>
      </c>
      <c r="D302" s="1">
        <v>2752431100</v>
      </c>
    </row>
    <row r="303" spans="1:4" s="6" customFormat="1" x14ac:dyDescent="0.25">
      <c r="A303" s="6" t="str">
        <f>T("151550")</f>
        <v>151550</v>
      </c>
      <c r="B303" s="6" t="str">
        <f>T("HUILE DE SESAME ET SES FRACTIONS")</f>
        <v>HUILE DE SESAME ET SES FRACTIONS</v>
      </c>
      <c r="C303" s="1"/>
      <c r="D303" s="1"/>
    </row>
    <row r="304" spans="1:4" x14ac:dyDescent="0.25">
      <c r="B304" t="str">
        <f>T("   Moldova, République de")</f>
        <v xml:space="preserve">   Moldova, République de</v>
      </c>
      <c r="C304" s="2">
        <v>5</v>
      </c>
      <c r="D304" s="2">
        <v>3750</v>
      </c>
    </row>
    <row r="305" spans="1:4" s="6" customFormat="1" x14ac:dyDescent="0.25">
      <c r="B305" s="6" t="str">
        <f>T("   Total Monde")</f>
        <v xml:space="preserve">   Total Monde</v>
      </c>
      <c r="C305" s="1">
        <v>5</v>
      </c>
      <c r="D305" s="1">
        <v>3750</v>
      </c>
    </row>
    <row r="306" spans="1:4" s="6" customFormat="1" x14ac:dyDescent="0.25">
      <c r="A306" s="6" t="str">
        <f>T("151590")</f>
        <v>151590</v>
      </c>
      <c r="B306" s="6" t="str">
        <f>T("AUTRES")</f>
        <v>AUTRES</v>
      </c>
      <c r="C306" s="1"/>
      <c r="D306" s="1"/>
    </row>
    <row r="307" spans="1:4" x14ac:dyDescent="0.25">
      <c r="B307" t="str">
        <f>T("   France")</f>
        <v xml:space="preserve">   France</v>
      </c>
      <c r="C307" s="2">
        <v>7722</v>
      </c>
      <c r="D307" s="2">
        <v>11784582</v>
      </c>
    </row>
    <row r="308" spans="1:4" x14ac:dyDescent="0.25">
      <c r="B308" t="str">
        <f>T("   Monaco")</f>
        <v xml:space="preserve">   Monaco</v>
      </c>
      <c r="C308" s="2">
        <v>390</v>
      </c>
      <c r="D308" s="2">
        <v>200000</v>
      </c>
    </row>
    <row r="309" spans="1:4" x14ac:dyDescent="0.25">
      <c r="B309" t="str">
        <f>T("   Moldova, République de")</f>
        <v xml:space="preserve">   Moldova, République de</v>
      </c>
      <c r="C309" s="2">
        <v>695</v>
      </c>
      <c r="D309" s="2">
        <v>287500</v>
      </c>
    </row>
    <row r="310" spans="1:4" s="6" customFormat="1" x14ac:dyDescent="0.25">
      <c r="B310" s="6" t="str">
        <f>T("   Total Monde")</f>
        <v xml:space="preserve">   Total Monde</v>
      </c>
      <c r="C310" s="1">
        <v>8807</v>
      </c>
      <c r="D310" s="1">
        <v>12272082</v>
      </c>
    </row>
    <row r="311" spans="1:4" s="6" customFormat="1" x14ac:dyDescent="0.25">
      <c r="A311" s="6" t="str">
        <f>T("151620")</f>
        <v>151620</v>
      </c>
      <c r="B311" s="6" t="str">
        <f>T("GRAISSES ET HUILES VEGETALES ET LEURS FRACTIONS")</f>
        <v>GRAISSES ET HUILES VEGETALES ET LEURS FRACTIONS</v>
      </c>
      <c r="C311" s="1"/>
      <c r="D311" s="1"/>
    </row>
    <row r="312" spans="1:4" x14ac:dyDescent="0.25">
      <c r="B312" t="str">
        <f>T("   Guinée")</f>
        <v xml:space="preserve">   Guinée</v>
      </c>
      <c r="C312" s="2">
        <v>146768</v>
      </c>
      <c r="D312" s="2">
        <v>100000</v>
      </c>
    </row>
    <row r="313" spans="1:4" x14ac:dyDescent="0.25">
      <c r="B313" t="str">
        <f>T("   Moldova, République de")</f>
        <v xml:space="preserve">   Moldova, République de</v>
      </c>
      <c r="C313" s="2">
        <v>2819</v>
      </c>
      <c r="D313" s="2">
        <v>1127600</v>
      </c>
    </row>
    <row r="314" spans="1:4" x14ac:dyDescent="0.25">
      <c r="B314" t="str">
        <f>T("   Nigéria")</f>
        <v xml:space="preserve">   Nigéria</v>
      </c>
      <c r="C314" s="2">
        <v>526840</v>
      </c>
      <c r="D314" s="2">
        <v>280032200</v>
      </c>
    </row>
    <row r="315" spans="1:4" s="6" customFormat="1" x14ac:dyDescent="0.25">
      <c r="B315" s="6" t="str">
        <f>T("   Total Monde")</f>
        <v xml:space="preserve">   Total Monde</v>
      </c>
      <c r="C315" s="1">
        <v>676427</v>
      </c>
      <c r="D315" s="1">
        <v>281259800</v>
      </c>
    </row>
    <row r="316" spans="1:4" s="6" customFormat="1" x14ac:dyDescent="0.25">
      <c r="A316" s="6" t="str">
        <f>T("151710")</f>
        <v>151710</v>
      </c>
      <c r="B316" s="6" t="str">
        <f>T("Margarine, a l'exclusion de la margarine liquide")</f>
        <v>Margarine, a l'exclusion de la margarine liquide</v>
      </c>
      <c r="C316" s="1"/>
      <c r="D316" s="1"/>
    </row>
    <row r="317" spans="1:4" x14ac:dyDescent="0.25">
      <c r="B317" t="str">
        <f>T("   Nigéria")</f>
        <v xml:space="preserve">   Nigéria</v>
      </c>
      <c r="C317" s="2">
        <v>15960</v>
      </c>
      <c r="D317" s="2">
        <v>7410000</v>
      </c>
    </row>
    <row r="318" spans="1:4" s="6" customFormat="1" x14ac:dyDescent="0.25">
      <c r="B318" s="6" t="str">
        <f>T("   Total Monde")</f>
        <v xml:space="preserve">   Total Monde</v>
      </c>
      <c r="C318" s="1">
        <v>15960</v>
      </c>
      <c r="D318" s="1">
        <v>7410000</v>
      </c>
    </row>
    <row r="319" spans="1:4" s="6" customFormat="1" x14ac:dyDescent="0.25">
      <c r="A319" s="6" t="str">
        <f>T("151790")</f>
        <v>151790</v>
      </c>
      <c r="B319" s="6" t="str">
        <f>T("AUTRES")</f>
        <v>AUTRES</v>
      </c>
      <c r="C319" s="1"/>
      <c r="D319" s="1"/>
    </row>
    <row r="320" spans="1:4" x14ac:dyDescent="0.25">
      <c r="B320" t="str">
        <f>T("   France")</f>
        <v xml:space="preserve">   France</v>
      </c>
      <c r="C320" s="2">
        <v>65</v>
      </c>
      <c r="D320" s="2">
        <v>30000</v>
      </c>
    </row>
    <row r="321" spans="1:4" s="6" customFormat="1" x14ac:dyDescent="0.25">
      <c r="B321" s="6" t="str">
        <f>T("   Total Monde")</f>
        <v xml:space="preserve">   Total Monde</v>
      </c>
      <c r="C321" s="1">
        <v>65</v>
      </c>
      <c r="D321" s="1">
        <v>30000</v>
      </c>
    </row>
    <row r="322" spans="1:4" s="6" customFormat="1" x14ac:dyDescent="0.25">
      <c r="A322" s="6" t="str">
        <f>T("160220")</f>
        <v>160220</v>
      </c>
      <c r="B322" s="6" t="str">
        <f>T("DE FOIES DE TOUS ANIMAUX")</f>
        <v>DE FOIES DE TOUS ANIMAUX</v>
      </c>
      <c r="C322" s="1"/>
      <c r="D322" s="1"/>
    </row>
    <row r="323" spans="1:4" x14ac:dyDescent="0.25">
      <c r="B323" t="str">
        <f>T("   France")</f>
        <v xml:space="preserve">   France</v>
      </c>
      <c r="C323" s="2">
        <v>27</v>
      </c>
      <c r="D323" s="2">
        <v>154807</v>
      </c>
    </row>
    <row r="324" spans="1:4" s="6" customFormat="1" x14ac:dyDescent="0.25">
      <c r="B324" s="6" t="str">
        <f>T("   Total Monde")</f>
        <v xml:space="preserve">   Total Monde</v>
      </c>
      <c r="C324" s="1">
        <v>27</v>
      </c>
      <c r="D324" s="1">
        <v>154807</v>
      </c>
    </row>
    <row r="325" spans="1:4" s="6" customFormat="1" x14ac:dyDescent="0.25">
      <c r="A325" s="6" t="str">
        <f>T("160239")</f>
        <v>160239</v>
      </c>
      <c r="B325" s="6" t="str">
        <f>T("AUTRES")</f>
        <v>AUTRES</v>
      </c>
      <c r="C325" s="1"/>
      <c r="D325" s="1"/>
    </row>
    <row r="326" spans="1:4" x14ac:dyDescent="0.25">
      <c r="B326" t="str">
        <f>T("   France")</f>
        <v xml:space="preserve">   France</v>
      </c>
      <c r="C326" s="2">
        <v>38</v>
      </c>
      <c r="D326" s="2">
        <v>143196</v>
      </c>
    </row>
    <row r="327" spans="1:4" s="6" customFormat="1" x14ac:dyDescent="0.25">
      <c r="B327" s="6" t="str">
        <f>T("   Total Monde")</f>
        <v xml:space="preserve">   Total Monde</v>
      </c>
      <c r="C327" s="1">
        <v>38</v>
      </c>
      <c r="D327" s="1">
        <v>143196</v>
      </c>
    </row>
    <row r="328" spans="1:4" s="6" customFormat="1" x14ac:dyDescent="0.25">
      <c r="A328" s="6" t="str">
        <f>T("170111")</f>
        <v>170111</v>
      </c>
      <c r="B328" s="6" t="str">
        <f>T("SUCRES BRUTS DE CANNE,SANS AROMATISANTS NI COLORANTS")</f>
        <v>SUCRES BRUTS DE CANNE,SANS AROMATISANTS NI COLORANTS</v>
      </c>
      <c r="C328" s="1"/>
      <c r="D328" s="1"/>
    </row>
    <row r="329" spans="1:4" x14ac:dyDescent="0.25">
      <c r="B329" t="str">
        <f>T("   Niger")</f>
        <v xml:space="preserve">   Niger</v>
      </c>
      <c r="C329" s="2">
        <v>15500000</v>
      </c>
      <c r="D329" s="2">
        <v>4370000000</v>
      </c>
    </row>
    <row r="330" spans="1:4" s="6" customFormat="1" x14ac:dyDescent="0.25">
      <c r="B330" s="6" t="str">
        <f>T("   Total Monde")</f>
        <v xml:space="preserve">   Total Monde</v>
      </c>
      <c r="C330" s="1">
        <v>15500000</v>
      </c>
      <c r="D330" s="1">
        <v>4370000000</v>
      </c>
    </row>
    <row r="331" spans="1:4" s="6" customFormat="1" x14ac:dyDescent="0.25">
      <c r="A331" s="6" t="str">
        <f>T("180500")</f>
        <v>180500</v>
      </c>
      <c r="B331" s="6" t="str">
        <f>T("POUDRE DE CACAO, SANS ADDITION DE SUCRE OU D'AUTRES EDULCORANTS.")</f>
        <v>POUDRE DE CACAO, SANS ADDITION DE SUCRE OU D'AUTRES EDULCORANTS.</v>
      </c>
      <c r="C331" s="1"/>
      <c r="D331" s="1"/>
    </row>
    <row r="332" spans="1:4" x14ac:dyDescent="0.25">
      <c r="B332" t="str">
        <f>T("   Belgique")</f>
        <v xml:space="preserve">   Belgique</v>
      </c>
      <c r="C332" s="2">
        <v>512</v>
      </c>
      <c r="D332" s="2">
        <v>65200</v>
      </c>
    </row>
    <row r="333" spans="1:4" s="6" customFormat="1" x14ac:dyDescent="0.25">
      <c r="B333" s="6" t="str">
        <f>T("   Total Monde")</f>
        <v xml:space="preserve">   Total Monde</v>
      </c>
      <c r="C333" s="1">
        <v>512</v>
      </c>
      <c r="D333" s="1">
        <v>65200</v>
      </c>
    </row>
    <row r="334" spans="1:4" s="6" customFormat="1" x14ac:dyDescent="0.25">
      <c r="A334" s="6" t="str">
        <f>T("190190")</f>
        <v>190190</v>
      </c>
      <c r="B334" s="6" t="str">
        <f>T("AUTRES")</f>
        <v>AUTRES</v>
      </c>
      <c r="C334" s="1"/>
      <c r="D334" s="1"/>
    </row>
    <row r="335" spans="1:4" x14ac:dyDescent="0.25">
      <c r="B335" t="str">
        <f>T("   Gabon")</f>
        <v xml:space="preserve">   Gabon</v>
      </c>
      <c r="C335" s="2">
        <v>10000</v>
      </c>
      <c r="D335" s="2">
        <v>1000000</v>
      </c>
    </row>
    <row r="336" spans="1:4" s="6" customFormat="1" x14ac:dyDescent="0.25">
      <c r="B336" s="6" t="str">
        <f>T("   Total Monde")</f>
        <v xml:space="preserve">   Total Monde</v>
      </c>
      <c r="C336" s="1">
        <v>10000</v>
      </c>
      <c r="D336" s="1">
        <v>1000000</v>
      </c>
    </row>
    <row r="337" spans="1:4" s="6" customFormat="1" x14ac:dyDescent="0.25">
      <c r="A337" s="6" t="str">
        <f>T("190230")</f>
        <v>190230</v>
      </c>
      <c r="B337" s="6" t="str">
        <f>T("AUTRES PATES ALIMENTAIRES")</f>
        <v>AUTRES PATES ALIMENTAIRES</v>
      </c>
      <c r="C337" s="1"/>
      <c r="D337" s="1"/>
    </row>
    <row r="338" spans="1:4" x14ac:dyDescent="0.25">
      <c r="B338" t="str">
        <f>T("   France")</f>
        <v xml:space="preserve">   France</v>
      </c>
      <c r="C338" s="2">
        <v>600000</v>
      </c>
      <c r="D338" s="2">
        <v>135000000</v>
      </c>
    </row>
    <row r="339" spans="1:4" x14ac:dyDescent="0.25">
      <c r="B339" t="str">
        <f>T("   Gabon")</f>
        <v xml:space="preserve">   Gabon</v>
      </c>
      <c r="C339" s="2">
        <v>71510</v>
      </c>
      <c r="D339" s="2">
        <v>32357971</v>
      </c>
    </row>
    <row r="340" spans="1:4" x14ac:dyDescent="0.25">
      <c r="B340" t="str">
        <f>T("   Niger")</f>
        <v xml:space="preserve">   Niger</v>
      </c>
      <c r="C340" s="2">
        <v>201500</v>
      </c>
      <c r="D340" s="2">
        <v>99505700</v>
      </c>
    </row>
    <row r="341" spans="1:4" x14ac:dyDescent="0.25">
      <c r="B341" t="str">
        <f>T("   Nigéria")</f>
        <v xml:space="preserve">   Nigéria</v>
      </c>
      <c r="C341" s="2">
        <v>80000</v>
      </c>
      <c r="D341" s="2">
        <v>36100000</v>
      </c>
    </row>
    <row r="342" spans="1:4" x14ac:dyDescent="0.25">
      <c r="B342" t="str">
        <f>T("   Togo")</f>
        <v xml:space="preserve">   Togo</v>
      </c>
      <c r="C342" s="2">
        <v>16000</v>
      </c>
      <c r="D342" s="2">
        <v>7040000</v>
      </c>
    </row>
    <row r="343" spans="1:4" s="6" customFormat="1" x14ac:dyDescent="0.25">
      <c r="B343" s="6" t="str">
        <f>T("   Total Monde")</f>
        <v xml:space="preserve">   Total Monde</v>
      </c>
      <c r="C343" s="1">
        <v>969010</v>
      </c>
      <c r="D343" s="1">
        <v>310003671</v>
      </c>
    </row>
    <row r="344" spans="1:4" s="6" customFormat="1" x14ac:dyDescent="0.25">
      <c r="A344" s="6" t="str">
        <f>T("190490")</f>
        <v>190490</v>
      </c>
      <c r="B344" s="6" t="str">
        <f>T("AUTRES")</f>
        <v>AUTRES</v>
      </c>
      <c r="C344" s="1"/>
      <c r="D344" s="1"/>
    </row>
    <row r="345" spans="1:4" x14ac:dyDescent="0.25">
      <c r="B345" t="str">
        <f>T("   Gabon")</f>
        <v xml:space="preserve">   Gabon</v>
      </c>
      <c r="C345" s="2">
        <v>23220</v>
      </c>
      <c r="D345" s="2">
        <v>2200000</v>
      </c>
    </row>
    <row r="346" spans="1:4" s="6" customFormat="1" x14ac:dyDescent="0.25">
      <c r="B346" s="6" t="str">
        <f>T("   Total Monde")</f>
        <v xml:space="preserve">   Total Monde</v>
      </c>
      <c r="C346" s="1">
        <v>23220</v>
      </c>
      <c r="D346" s="1">
        <v>2200000</v>
      </c>
    </row>
    <row r="347" spans="1:4" s="6" customFormat="1" x14ac:dyDescent="0.25">
      <c r="A347" s="6" t="str">
        <f>T("190590")</f>
        <v>190590</v>
      </c>
      <c r="B347" s="6" t="str">
        <f>T("AUTRES")</f>
        <v>AUTRES</v>
      </c>
      <c r="C347" s="1"/>
      <c r="D347" s="1"/>
    </row>
    <row r="348" spans="1:4" x14ac:dyDescent="0.25">
      <c r="B348" t="str">
        <f>T("   Togo")</f>
        <v xml:space="preserve">   Togo</v>
      </c>
      <c r="C348" s="2">
        <v>1400</v>
      </c>
      <c r="D348" s="2">
        <v>1430000</v>
      </c>
    </row>
    <row r="349" spans="1:4" s="6" customFormat="1" x14ac:dyDescent="0.25">
      <c r="B349" s="6" t="str">
        <f>T("   Total Monde")</f>
        <v xml:space="preserve">   Total Monde</v>
      </c>
      <c r="C349" s="1">
        <v>1400</v>
      </c>
      <c r="D349" s="1">
        <v>1430000</v>
      </c>
    </row>
    <row r="350" spans="1:4" s="6" customFormat="1" x14ac:dyDescent="0.25">
      <c r="A350" s="6" t="str">
        <f>T("200600")</f>
        <v>200600</v>
      </c>
      <c r="B350" s="6" t="str">
        <f>T("LEGUMES, FRUITS, ECORCES DE FRUITS ET AUTRES PARTIES DE PLANTES, CONFITS AU SUCRE (EGOU")</f>
        <v>LEGUMES, FRUITS, ECORCES DE FRUITS ET AUTRES PARTIES DE PLANTES, CONFITS AU SUCRE (EGOU</v>
      </c>
      <c r="C350" s="1"/>
      <c r="D350" s="1"/>
    </row>
    <row r="351" spans="1:4" x14ac:dyDescent="0.25">
      <c r="B351" t="str">
        <f>T("   Gabon")</f>
        <v xml:space="preserve">   Gabon</v>
      </c>
      <c r="C351" s="2">
        <v>1400</v>
      </c>
      <c r="D351" s="2">
        <v>80000</v>
      </c>
    </row>
    <row r="352" spans="1:4" s="6" customFormat="1" x14ac:dyDescent="0.25">
      <c r="B352" s="6" t="str">
        <f>T("   Total Monde")</f>
        <v xml:space="preserve">   Total Monde</v>
      </c>
      <c r="C352" s="1">
        <v>1400</v>
      </c>
      <c r="D352" s="1">
        <v>80000</v>
      </c>
    </row>
    <row r="353" spans="1:4" s="6" customFormat="1" x14ac:dyDescent="0.25">
      <c r="A353" s="6" t="str">
        <f>T("200941")</f>
        <v>200941</v>
      </c>
      <c r="B353" s="6" t="str">
        <f>T("D’UNE VALEUR BRIX N’EXCEDANT PAS 20")</f>
        <v>D’UNE VALEUR BRIX N’EXCEDANT PAS 20</v>
      </c>
      <c r="C353" s="1"/>
      <c r="D353" s="1"/>
    </row>
    <row r="354" spans="1:4" x14ac:dyDescent="0.25">
      <c r="B354" t="str">
        <f>T("   Burkina Faso")</f>
        <v xml:space="preserve">   Burkina Faso</v>
      </c>
      <c r="C354" s="2">
        <v>212480</v>
      </c>
      <c r="D354" s="2">
        <v>44356500</v>
      </c>
    </row>
    <row r="355" spans="1:4" x14ac:dyDescent="0.25">
      <c r="B355" t="str">
        <f>T("   Côte d'Ivoire")</f>
        <v xml:space="preserve">   Côte d'Ivoire</v>
      </c>
      <c r="C355" s="2">
        <v>50120</v>
      </c>
      <c r="D355" s="2">
        <v>17760000</v>
      </c>
    </row>
    <row r="356" spans="1:4" x14ac:dyDescent="0.25">
      <c r="B356" t="str">
        <f>T("   Mali")</f>
        <v xml:space="preserve">   Mali</v>
      </c>
      <c r="C356" s="2">
        <v>323900</v>
      </c>
      <c r="D356" s="2">
        <v>66397500</v>
      </c>
    </row>
    <row r="357" spans="1:4" x14ac:dyDescent="0.25">
      <c r="B357" t="str">
        <f>T("   Niger")</f>
        <v xml:space="preserve">   Niger</v>
      </c>
      <c r="C357" s="2">
        <v>162750</v>
      </c>
      <c r="D357" s="2">
        <v>35812500</v>
      </c>
    </row>
    <row r="358" spans="1:4" x14ac:dyDescent="0.25">
      <c r="B358" t="str">
        <f>T("   Sénégal")</f>
        <v xml:space="preserve">   Sénégal</v>
      </c>
      <c r="C358" s="2">
        <v>103350</v>
      </c>
      <c r="D358" s="2">
        <v>21510600</v>
      </c>
    </row>
    <row r="359" spans="1:4" x14ac:dyDescent="0.25">
      <c r="B359" t="str">
        <f>T("   Tchad")</f>
        <v xml:space="preserve">   Tchad</v>
      </c>
      <c r="C359" s="2">
        <v>18837</v>
      </c>
      <c r="D359" s="2">
        <v>6000000</v>
      </c>
    </row>
    <row r="360" spans="1:4" s="6" customFormat="1" x14ac:dyDescent="0.25">
      <c r="B360" s="6" t="str">
        <f>T("   Total Monde")</f>
        <v xml:space="preserve">   Total Monde</v>
      </c>
      <c r="C360" s="1">
        <v>871437</v>
      </c>
      <c r="D360" s="1">
        <v>191837100</v>
      </c>
    </row>
    <row r="361" spans="1:4" s="6" customFormat="1" x14ac:dyDescent="0.25">
      <c r="A361" s="6" t="str">
        <f>T("200949")</f>
        <v>200949</v>
      </c>
      <c r="B361" s="6" t="str">
        <f>T("AUTRES")</f>
        <v>AUTRES</v>
      </c>
      <c r="C361" s="1"/>
      <c r="D361" s="1"/>
    </row>
    <row r="362" spans="1:4" x14ac:dyDescent="0.25">
      <c r="B362" t="str">
        <f>T("   Burkina Faso")</f>
        <v xml:space="preserve">   Burkina Faso</v>
      </c>
      <c r="C362" s="2">
        <v>293400</v>
      </c>
      <c r="D362" s="2">
        <v>44010000</v>
      </c>
    </row>
    <row r="363" spans="1:4" x14ac:dyDescent="0.25">
      <c r="B363" t="str">
        <f>T("   Niger")</f>
        <v xml:space="preserve">   Niger</v>
      </c>
      <c r="C363" s="2">
        <v>2500</v>
      </c>
      <c r="D363" s="2">
        <v>551000</v>
      </c>
    </row>
    <row r="364" spans="1:4" x14ac:dyDescent="0.25">
      <c r="B364" t="str">
        <f>T("   Sénégal")</f>
        <v xml:space="preserve">   Sénégal</v>
      </c>
      <c r="C364" s="2">
        <v>38510</v>
      </c>
      <c r="D364" s="2">
        <v>6097000</v>
      </c>
    </row>
    <row r="365" spans="1:4" x14ac:dyDescent="0.25">
      <c r="B365" t="str">
        <f>T("   Togo")</f>
        <v xml:space="preserve">   Togo</v>
      </c>
      <c r="C365" s="2">
        <v>13200</v>
      </c>
      <c r="D365" s="2">
        <v>1320000</v>
      </c>
    </row>
    <row r="366" spans="1:4" s="6" customFormat="1" x14ac:dyDescent="0.25">
      <c r="B366" s="6" t="str">
        <f>T("   Total Monde")</f>
        <v xml:space="preserve">   Total Monde</v>
      </c>
      <c r="C366" s="1">
        <v>347610</v>
      </c>
      <c r="D366" s="1">
        <v>51978000</v>
      </c>
    </row>
    <row r="367" spans="1:4" s="6" customFormat="1" x14ac:dyDescent="0.25">
      <c r="A367" s="6" t="str">
        <f>T("200969")</f>
        <v>200969</v>
      </c>
      <c r="B367" s="6" t="str">
        <f>T("AUTRES")</f>
        <v>AUTRES</v>
      </c>
      <c r="C367" s="1"/>
      <c r="D367" s="1"/>
    </row>
    <row r="368" spans="1:4" x14ac:dyDescent="0.25">
      <c r="B368" t="str">
        <f>T("   Togo")</f>
        <v xml:space="preserve">   Togo</v>
      </c>
      <c r="C368" s="2">
        <v>20220</v>
      </c>
      <c r="D368" s="2">
        <v>3751763</v>
      </c>
    </row>
    <row r="369" spans="1:4" s="6" customFormat="1" x14ac:dyDescent="0.25">
      <c r="B369" s="6" t="str">
        <f>T("   Total Monde")</f>
        <v xml:space="preserve">   Total Monde</v>
      </c>
      <c r="C369" s="1">
        <v>20220</v>
      </c>
      <c r="D369" s="1">
        <v>3751763</v>
      </c>
    </row>
    <row r="370" spans="1:4" s="6" customFormat="1" x14ac:dyDescent="0.25">
      <c r="A370" s="6" t="str">
        <f>T("210111")</f>
        <v>210111</v>
      </c>
      <c r="B370" s="6" t="str">
        <f>T("EXTRAITS, ESSENCES ET CONCENTRES")</f>
        <v>EXTRAITS, ESSENCES ET CONCENTRES</v>
      </c>
      <c r="C370" s="1"/>
      <c r="D370" s="1"/>
    </row>
    <row r="371" spans="1:4" x14ac:dyDescent="0.25">
      <c r="B371" t="str">
        <f>T("   Libyenne, Jamahiriya Arabe")</f>
        <v xml:space="preserve">   Libyenne, Jamahiriya Arabe</v>
      </c>
      <c r="C371" s="2">
        <v>40000</v>
      </c>
      <c r="D371" s="2">
        <v>3000000</v>
      </c>
    </row>
    <row r="372" spans="1:4" s="6" customFormat="1" x14ac:dyDescent="0.25">
      <c r="B372" s="6" t="str">
        <f>T("   Total Monde")</f>
        <v xml:space="preserve">   Total Monde</v>
      </c>
      <c r="C372" s="1">
        <v>40000</v>
      </c>
      <c r="D372" s="1">
        <v>3000000</v>
      </c>
    </row>
    <row r="373" spans="1:4" s="6" customFormat="1" x14ac:dyDescent="0.25">
      <c r="A373" s="6" t="str">
        <f>T("210410")</f>
        <v>210410</v>
      </c>
      <c r="B373" s="6" t="str">
        <f>T("PREPARATIONS POUR SOUPES, POTAGES OU BOUILLONS; SOUPES, POTAGES OU BOUILLONS PREPARES")</f>
        <v>PREPARATIONS POUR SOUPES, POTAGES OU BOUILLONS; SOUPES, POTAGES OU BOUILLONS PREPARES</v>
      </c>
      <c r="C373" s="1"/>
      <c r="D373" s="1"/>
    </row>
    <row r="374" spans="1:4" x14ac:dyDescent="0.25">
      <c r="B374" t="str">
        <f>T("   Togo")</f>
        <v xml:space="preserve">   Togo</v>
      </c>
      <c r="C374" s="2">
        <v>49590</v>
      </c>
      <c r="D374" s="2">
        <v>1500000</v>
      </c>
    </row>
    <row r="375" spans="1:4" s="6" customFormat="1" x14ac:dyDescent="0.25">
      <c r="B375" s="6" t="str">
        <f>T("   Total Monde")</f>
        <v xml:space="preserve">   Total Monde</v>
      </c>
      <c r="C375" s="1">
        <v>49590</v>
      </c>
      <c r="D375" s="1">
        <v>1500000</v>
      </c>
    </row>
    <row r="376" spans="1:4" s="6" customFormat="1" x14ac:dyDescent="0.25">
      <c r="A376" s="6" t="str">
        <f>T("210420")</f>
        <v>210420</v>
      </c>
      <c r="B376" s="6" t="str">
        <f>T("PREPARATIONS ALIMENTAIRES COMPOSITES HOMOGENEISEES")</f>
        <v>PREPARATIONS ALIMENTAIRES COMPOSITES HOMOGENEISEES</v>
      </c>
      <c r="C376" s="1"/>
      <c r="D376" s="1"/>
    </row>
    <row r="377" spans="1:4" x14ac:dyDescent="0.25">
      <c r="B377" t="str">
        <f>T("   Togo")</f>
        <v xml:space="preserve">   Togo</v>
      </c>
      <c r="C377" s="2">
        <v>7200</v>
      </c>
      <c r="D377" s="2">
        <v>3200000</v>
      </c>
    </row>
    <row r="378" spans="1:4" s="6" customFormat="1" x14ac:dyDescent="0.25">
      <c r="B378" s="6" t="str">
        <f>T("   Total Monde")</f>
        <v xml:space="preserve">   Total Monde</v>
      </c>
      <c r="C378" s="1">
        <v>7200</v>
      </c>
      <c r="D378" s="1">
        <v>3200000</v>
      </c>
    </row>
    <row r="379" spans="1:4" s="6" customFormat="1" x14ac:dyDescent="0.25">
      <c r="A379" s="6" t="str">
        <f>T("210690")</f>
        <v>210690</v>
      </c>
      <c r="B379" s="6" t="str">
        <f>T("AUTRES")</f>
        <v>AUTRES</v>
      </c>
      <c r="C379" s="1"/>
      <c r="D379" s="1"/>
    </row>
    <row r="380" spans="1:4" x14ac:dyDescent="0.25">
      <c r="B380" t="str">
        <f>T("   Côte d'Ivoire")</f>
        <v xml:space="preserve">   Côte d'Ivoire</v>
      </c>
      <c r="C380" s="2">
        <v>100</v>
      </c>
      <c r="D380" s="2">
        <v>524265</v>
      </c>
    </row>
    <row r="381" spans="1:4" x14ac:dyDescent="0.25">
      <c r="B381" t="str">
        <f>T("   Cameroun")</f>
        <v xml:space="preserve">   Cameroun</v>
      </c>
      <c r="C381" s="2">
        <v>153110</v>
      </c>
      <c r="D381" s="2">
        <v>1000000</v>
      </c>
    </row>
    <row r="382" spans="1:4" x14ac:dyDescent="0.25">
      <c r="B382" t="str">
        <f>T("   Libyenne, Jamahiriya Arabe")</f>
        <v xml:space="preserve">   Libyenne, Jamahiriya Arabe</v>
      </c>
      <c r="C382" s="2">
        <v>9024</v>
      </c>
      <c r="D382" s="2">
        <v>600000</v>
      </c>
    </row>
    <row r="383" spans="1:4" x14ac:dyDescent="0.25">
      <c r="B383" t="str">
        <f>T("   Moldova, République de")</f>
        <v xml:space="preserve">   Moldova, République de</v>
      </c>
      <c r="C383" s="2">
        <v>154</v>
      </c>
      <c r="D383" s="2">
        <v>511500</v>
      </c>
    </row>
    <row r="384" spans="1:4" x14ac:dyDescent="0.25">
      <c r="B384" t="str">
        <f>T("   Mauritanie")</f>
        <v xml:space="preserve">   Mauritanie</v>
      </c>
      <c r="C384" s="2">
        <v>31740</v>
      </c>
      <c r="D384" s="2">
        <v>200000</v>
      </c>
    </row>
    <row r="385" spans="1:4" s="6" customFormat="1" x14ac:dyDescent="0.25">
      <c r="B385" s="6" t="str">
        <f>T("   Total Monde")</f>
        <v xml:space="preserve">   Total Monde</v>
      </c>
      <c r="C385" s="1">
        <v>194128</v>
      </c>
      <c r="D385" s="1">
        <v>2835765</v>
      </c>
    </row>
    <row r="386" spans="1:4" s="6" customFormat="1" x14ac:dyDescent="0.25">
      <c r="A386" s="6" t="str">
        <f>T("220110")</f>
        <v>220110</v>
      </c>
      <c r="B386" s="6" t="str">
        <f>T("EAUX MINERALES ET EAUX GAZEIFIEES")</f>
        <v>EAUX MINERALES ET EAUX GAZEIFIEES</v>
      </c>
      <c r="C386" s="1"/>
      <c r="D386" s="1"/>
    </row>
    <row r="387" spans="1:4" x14ac:dyDescent="0.25">
      <c r="B387" t="str">
        <f>T("   Burkina Faso")</f>
        <v xml:space="preserve">   Burkina Faso</v>
      </c>
      <c r="C387" s="2">
        <v>46665</v>
      </c>
      <c r="D387" s="2">
        <v>5483268</v>
      </c>
    </row>
    <row r="388" spans="1:4" x14ac:dyDescent="0.25">
      <c r="B388" t="str">
        <f>T("   Côte d'Ivoire")</f>
        <v xml:space="preserve">   Côte d'Ivoire</v>
      </c>
      <c r="C388" s="2">
        <v>26400</v>
      </c>
      <c r="D388" s="2">
        <v>5988182</v>
      </c>
    </row>
    <row r="389" spans="1:4" x14ac:dyDescent="0.25">
      <c r="B389" t="str">
        <f>T("   Ghana")</f>
        <v xml:space="preserve">   Ghana</v>
      </c>
      <c r="C389" s="2">
        <v>25856</v>
      </c>
      <c r="D389" s="2">
        <v>6284220</v>
      </c>
    </row>
    <row r="390" spans="1:4" x14ac:dyDescent="0.25">
      <c r="B390" t="str">
        <f>T("   Mali")</f>
        <v xml:space="preserve">   Mali</v>
      </c>
      <c r="C390" s="2">
        <v>29000</v>
      </c>
      <c r="D390" s="2">
        <v>4829500</v>
      </c>
    </row>
    <row r="391" spans="1:4" x14ac:dyDescent="0.25">
      <c r="B391" t="str">
        <f>T("   Niger")</f>
        <v xml:space="preserve">   Niger</v>
      </c>
      <c r="C391" s="2">
        <v>56460</v>
      </c>
      <c r="D391" s="2">
        <v>7434930</v>
      </c>
    </row>
    <row r="392" spans="1:4" x14ac:dyDescent="0.25">
      <c r="B392" t="str">
        <f>T("   Togo")</f>
        <v xml:space="preserve">   Togo</v>
      </c>
      <c r="C392" s="2">
        <v>136364</v>
      </c>
      <c r="D392" s="2">
        <v>31385779</v>
      </c>
    </row>
    <row r="393" spans="1:4" s="6" customFormat="1" x14ac:dyDescent="0.25">
      <c r="B393" s="6" t="str">
        <f>T("   Total Monde")</f>
        <v xml:space="preserve">   Total Monde</v>
      </c>
      <c r="C393" s="1">
        <v>320745</v>
      </c>
      <c r="D393" s="1">
        <v>61405879</v>
      </c>
    </row>
    <row r="394" spans="1:4" s="6" customFormat="1" x14ac:dyDescent="0.25">
      <c r="A394" s="6" t="str">
        <f>T("220210")</f>
        <v>220210</v>
      </c>
      <c r="B394" s="6" t="str">
        <f>T("EAUX, Y COMPRIS LES EAUX MINERALES ET LES EAUX GAZEIFIEES, ADDITIONNEES DE SUCRE OU D")</f>
        <v>EAUX, Y COMPRIS LES EAUX MINERALES ET LES EAUX GAZEIFIEES, ADDITIONNEES DE SUCRE OU D</v>
      </c>
      <c r="C394" s="1"/>
      <c r="D394" s="1"/>
    </row>
    <row r="395" spans="1:4" x14ac:dyDescent="0.25">
      <c r="B395" t="str">
        <f>T("   Burkina Faso")</f>
        <v xml:space="preserve">   Burkina Faso</v>
      </c>
      <c r="C395" s="2">
        <v>3190</v>
      </c>
      <c r="D395" s="2">
        <v>1142626</v>
      </c>
    </row>
    <row r="396" spans="1:4" x14ac:dyDescent="0.25">
      <c r="B396" t="str">
        <f>T("   Niger")</f>
        <v xml:space="preserve">   Niger</v>
      </c>
      <c r="C396" s="2">
        <v>2240</v>
      </c>
      <c r="D396" s="2">
        <v>861855</v>
      </c>
    </row>
    <row r="397" spans="1:4" x14ac:dyDescent="0.25">
      <c r="B397" t="str">
        <f>T("   Togo")</f>
        <v xml:space="preserve">   Togo</v>
      </c>
      <c r="C397" s="2">
        <v>39397</v>
      </c>
      <c r="D397" s="2">
        <v>15513853</v>
      </c>
    </row>
    <row r="398" spans="1:4" s="6" customFormat="1" x14ac:dyDescent="0.25">
      <c r="B398" s="6" t="str">
        <f>T("   Total Monde")</f>
        <v xml:space="preserve">   Total Monde</v>
      </c>
      <c r="C398" s="1">
        <v>44827</v>
      </c>
      <c r="D398" s="1">
        <v>17518334</v>
      </c>
    </row>
    <row r="399" spans="1:4" s="6" customFormat="1" x14ac:dyDescent="0.25">
      <c r="A399" s="6" t="str">
        <f>T("220290")</f>
        <v>220290</v>
      </c>
      <c r="B399" s="6" t="str">
        <f>T("AUTRES")</f>
        <v>AUTRES</v>
      </c>
      <c r="C399" s="1"/>
      <c r="D399" s="1"/>
    </row>
    <row r="400" spans="1:4" x14ac:dyDescent="0.25">
      <c r="B400" t="str">
        <f>T("   Burkina Faso")</f>
        <v xml:space="preserve">   Burkina Faso</v>
      </c>
      <c r="C400" s="2">
        <v>700.14</v>
      </c>
      <c r="D400" s="2">
        <v>27135864</v>
      </c>
    </row>
    <row r="401" spans="1:4" x14ac:dyDescent="0.25">
      <c r="B401" t="str">
        <f>T("   Togo")</f>
        <v xml:space="preserve">   Togo</v>
      </c>
      <c r="C401" s="2">
        <v>51220</v>
      </c>
      <c r="D401" s="2">
        <v>13751763</v>
      </c>
    </row>
    <row r="402" spans="1:4" s="6" customFormat="1" x14ac:dyDescent="0.25">
      <c r="B402" s="6" t="str">
        <f>T("   Total Monde")</f>
        <v xml:space="preserve">   Total Monde</v>
      </c>
      <c r="C402" s="1">
        <v>51920.14</v>
      </c>
      <c r="D402" s="1">
        <v>40887627</v>
      </c>
    </row>
    <row r="403" spans="1:4" s="6" customFormat="1" x14ac:dyDescent="0.25">
      <c r="A403" s="6" t="str">
        <f>T("220429")</f>
        <v>220429</v>
      </c>
      <c r="B403" s="6" t="str">
        <f>T("AUTRES")</f>
        <v>AUTRES</v>
      </c>
      <c r="C403" s="1"/>
      <c r="D403" s="1"/>
    </row>
    <row r="404" spans="1:4" x14ac:dyDescent="0.25">
      <c r="B404" t="str">
        <f>T("   Gabon")</f>
        <v xml:space="preserve">   Gabon</v>
      </c>
      <c r="C404" s="2">
        <v>2640</v>
      </c>
      <c r="D404" s="2">
        <v>1500000</v>
      </c>
    </row>
    <row r="405" spans="1:4" s="6" customFormat="1" x14ac:dyDescent="0.25">
      <c r="B405" s="6" t="str">
        <f>T("   Total Monde")</f>
        <v xml:space="preserve">   Total Monde</v>
      </c>
      <c r="C405" s="1">
        <v>2640</v>
      </c>
      <c r="D405" s="1">
        <v>1500000</v>
      </c>
    </row>
    <row r="406" spans="1:4" s="6" customFormat="1" x14ac:dyDescent="0.25">
      <c r="A406" s="6" t="str">
        <f>T("220600")</f>
        <v>220600</v>
      </c>
      <c r="B406" s="6" t="str">
        <f>T("AUTRES BOISSONS FERMENTEES (CIDRE, POIRE, HYDROMEL, PAR EXEMPLE); MELANGES DE BOISSONS")</f>
        <v>AUTRES BOISSONS FERMENTEES (CIDRE, POIRE, HYDROMEL, PAR EXEMPLE); MELANGES DE BOISSONS</v>
      </c>
      <c r="C406" s="1"/>
      <c r="D406" s="1"/>
    </row>
    <row r="407" spans="1:4" x14ac:dyDescent="0.25">
      <c r="B407" t="str">
        <f>T("   Gabon")</f>
        <v xml:space="preserve">   Gabon</v>
      </c>
      <c r="C407" s="2">
        <v>11040</v>
      </c>
      <c r="D407" s="2">
        <v>150000</v>
      </c>
    </row>
    <row r="408" spans="1:4" s="6" customFormat="1" x14ac:dyDescent="0.25">
      <c r="B408" s="6" t="str">
        <f>T("   Total Monde")</f>
        <v xml:space="preserve">   Total Monde</v>
      </c>
      <c r="C408" s="1">
        <v>11040</v>
      </c>
      <c r="D408" s="1">
        <v>150000</v>
      </c>
    </row>
    <row r="409" spans="1:4" s="6" customFormat="1" x14ac:dyDescent="0.25">
      <c r="A409" s="6" t="str">
        <f>T("220710")</f>
        <v>220710</v>
      </c>
      <c r="B409" s="6" t="str">
        <f>T("ALCOOL ETHYLIQUE NON DENATURE D'UN TITRE ALCOOMETRIQUE +VOLUMIQUE DE 80 % VOL OU PLUS")</f>
        <v>ALCOOL ETHYLIQUE NON DENATURE D'UN TITRE ALCOOMETRIQUE +VOLUMIQUE DE 80 % VOL OU PLUS</v>
      </c>
      <c r="C409" s="1"/>
      <c r="D409" s="1"/>
    </row>
    <row r="410" spans="1:4" x14ac:dyDescent="0.25">
      <c r="B410" t="str">
        <f>T("   Burkina Faso")</f>
        <v xml:space="preserve">   Burkina Faso</v>
      </c>
      <c r="C410" s="2">
        <v>20625</v>
      </c>
      <c r="D410" s="2">
        <v>15000000</v>
      </c>
    </row>
    <row r="411" spans="1:4" s="6" customFormat="1" x14ac:dyDescent="0.25">
      <c r="B411" s="6" t="str">
        <f>T("   Total Monde")</f>
        <v xml:space="preserve">   Total Monde</v>
      </c>
      <c r="C411" s="1">
        <v>20625</v>
      </c>
      <c r="D411" s="1">
        <v>15000000</v>
      </c>
    </row>
    <row r="412" spans="1:4" s="6" customFormat="1" x14ac:dyDescent="0.25">
      <c r="A412" s="6" t="str">
        <f>T("220890")</f>
        <v>220890</v>
      </c>
      <c r="B412" s="6" t="str">
        <f>T("AUTRES")</f>
        <v>AUTRES</v>
      </c>
      <c r="C412" s="1"/>
      <c r="D412" s="1"/>
    </row>
    <row r="413" spans="1:4" x14ac:dyDescent="0.25">
      <c r="B413" t="str">
        <f>T("   Gabon")</f>
        <v xml:space="preserve">   Gabon</v>
      </c>
      <c r="C413" s="2">
        <v>1500</v>
      </c>
      <c r="D413" s="2">
        <v>450000</v>
      </c>
    </row>
    <row r="414" spans="1:4" x14ac:dyDescent="0.25">
      <c r="B414" t="str">
        <f>T("   Guinée Equatoriale")</f>
        <v xml:space="preserve">   Guinée Equatoriale</v>
      </c>
      <c r="C414" s="2">
        <v>15725</v>
      </c>
      <c r="D414" s="2">
        <v>1000000</v>
      </c>
    </row>
    <row r="415" spans="1:4" s="6" customFormat="1" x14ac:dyDescent="0.25">
      <c r="B415" s="6" t="str">
        <f>T("   Total Monde")</f>
        <v xml:space="preserve">   Total Monde</v>
      </c>
      <c r="C415" s="1">
        <v>17225</v>
      </c>
      <c r="D415" s="1">
        <v>1450000</v>
      </c>
    </row>
    <row r="416" spans="1:4" s="6" customFormat="1" x14ac:dyDescent="0.25">
      <c r="A416" s="6" t="str">
        <f>T("230210")</f>
        <v>230210</v>
      </c>
      <c r="B416" s="6" t="str">
        <f>T("DE MAIS")</f>
        <v>DE MAIS</v>
      </c>
      <c r="C416" s="1"/>
      <c r="D416" s="1"/>
    </row>
    <row r="417" spans="1:4" x14ac:dyDescent="0.25">
      <c r="B417" t="str">
        <f>T("   Gabon")</f>
        <v xml:space="preserve">   Gabon</v>
      </c>
      <c r="C417" s="2">
        <v>25100</v>
      </c>
      <c r="D417" s="2">
        <v>4469000</v>
      </c>
    </row>
    <row r="418" spans="1:4" x14ac:dyDescent="0.25">
      <c r="B418" t="str">
        <f>T("   Ghana")</f>
        <v xml:space="preserve">   Ghana</v>
      </c>
      <c r="C418" s="2">
        <v>180000</v>
      </c>
      <c r="D418" s="2">
        <v>13600000</v>
      </c>
    </row>
    <row r="419" spans="1:4" s="6" customFormat="1" x14ac:dyDescent="0.25">
      <c r="B419" s="6" t="str">
        <f>T("   Total Monde")</f>
        <v xml:space="preserve">   Total Monde</v>
      </c>
      <c r="C419" s="1">
        <v>205100</v>
      </c>
      <c r="D419" s="1">
        <v>18069000</v>
      </c>
    </row>
    <row r="420" spans="1:4" s="6" customFormat="1" x14ac:dyDescent="0.25">
      <c r="A420" s="6" t="str">
        <f>T("230230")</f>
        <v>230230</v>
      </c>
      <c r="B420" s="6" t="str">
        <f>T("DE FROMENT")</f>
        <v>DE FROMENT</v>
      </c>
      <c r="C420" s="1"/>
      <c r="D420" s="1"/>
    </row>
    <row r="421" spans="1:4" x14ac:dyDescent="0.25">
      <c r="B421" t="str">
        <f>T("   Niger")</f>
        <v xml:space="preserve">   Niger</v>
      </c>
      <c r="C421" s="2">
        <v>545590</v>
      </c>
      <c r="D421" s="2">
        <v>81635556</v>
      </c>
    </row>
    <row r="422" spans="1:4" s="6" customFormat="1" x14ac:dyDescent="0.25">
      <c r="B422" s="6" t="str">
        <f>T("   Total Monde")</f>
        <v xml:space="preserve">   Total Monde</v>
      </c>
      <c r="C422" s="1">
        <v>545590</v>
      </c>
      <c r="D422" s="1">
        <v>81635556</v>
      </c>
    </row>
    <row r="423" spans="1:4" s="6" customFormat="1" x14ac:dyDescent="0.25">
      <c r="A423" s="6" t="str">
        <f>T("230400")</f>
        <v>230400</v>
      </c>
      <c r="B423" s="6" t="str">
        <f>T("TOURTEAUX ET AUTRES RESIDUS SOLIDES, MEME BROYES OU AGGLOMERES SOUS FORME DE PELLETS, D")</f>
        <v>TOURTEAUX ET AUTRES RESIDUS SOLIDES, MEME BROYES OU AGGLOMERES SOUS FORME DE PELLETS, D</v>
      </c>
      <c r="C423" s="1"/>
      <c r="D423" s="1"/>
    </row>
    <row r="424" spans="1:4" x14ac:dyDescent="0.25">
      <c r="B424" t="str">
        <f>T("   Côte d'Ivoire")</f>
        <v xml:space="preserve">   Côte d'Ivoire</v>
      </c>
      <c r="C424" s="2">
        <v>3331980</v>
      </c>
      <c r="D424" s="2">
        <v>1060669100</v>
      </c>
    </row>
    <row r="425" spans="1:4" x14ac:dyDescent="0.25">
      <c r="B425" t="str">
        <f>T("   Ghana")</f>
        <v xml:space="preserve">   Ghana</v>
      </c>
      <c r="C425" s="2">
        <v>960020</v>
      </c>
      <c r="D425" s="2">
        <v>307505700</v>
      </c>
    </row>
    <row r="426" spans="1:4" x14ac:dyDescent="0.25">
      <c r="B426" t="str">
        <f>T("   Togo")</f>
        <v xml:space="preserve">   Togo</v>
      </c>
      <c r="C426" s="2">
        <v>119980</v>
      </c>
      <c r="D426" s="2">
        <v>35394100</v>
      </c>
    </row>
    <row r="427" spans="1:4" s="6" customFormat="1" x14ac:dyDescent="0.25">
      <c r="B427" s="6" t="str">
        <f>T("   Total Monde")</f>
        <v xml:space="preserve">   Total Monde</v>
      </c>
      <c r="C427" s="1">
        <v>4411980</v>
      </c>
      <c r="D427" s="1">
        <v>1403568900</v>
      </c>
    </row>
    <row r="428" spans="1:4" s="6" customFormat="1" x14ac:dyDescent="0.25">
      <c r="A428" s="6" t="str">
        <f>T("230610")</f>
        <v>230610</v>
      </c>
      <c r="B428" s="6" t="str">
        <f>T("DE GRAINES DE COTON")</f>
        <v>DE GRAINES DE COTON</v>
      </c>
      <c r="C428" s="1"/>
      <c r="D428" s="1"/>
    </row>
    <row r="429" spans="1:4" x14ac:dyDescent="0.25">
      <c r="B429" t="str">
        <f>T("   Côte d'Ivoire")</f>
        <v xml:space="preserve">   Côte d'Ivoire</v>
      </c>
      <c r="C429" s="2">
        <v>764864</v>
      </c>
      <c r="D429" s="2">
        <v>103570380</v>
      </c>
    </row>
    <row r="430" spans="1:4" x14ac:dyDescent="0.25">
      <c r="B430" t="str">
        <f>T("   Chine")</f>
        <v xml:space="preserve">   Chine</v>
      </c>
      <c r="C430" s="2">
        <v>2911056</v>
      </c>
      <c r="D430" s="2">
        <v>366937681</v>
      </c>
    </row>
    <row r="431" spans="1:4" x14ac:dyDescent="0.25">
      <c r="B431" t="str">
        <f>T("   Ghana")</f>
        <v xml:space="preserve">   Ghana</v>
      </c>
      <c r="C431" s="2">
        <v>2586252</v>
      </c>
      <c r="D431" s="2">
        <v>367048020</v>
      </c>
    </row>
    <row r="432" spans="1:4" x14ac:dyDescent="0.25">
      <c r="B432" t="str">
        <f>T("   Inde")</f>
        <v xml:space="preserve">   Inde</v>
      </c>
      <c r="C432" s="2">
        <v>335551</v>
      </c>
      <c r="D432" s="2">
        <v>38518908</v>
      </c>
    </row>
    <row r="433" spans="1:4" x14ac:dyDescent="0.25">
      <c r="B433" t="str">
        <f>T("   Togo")</f>
        <v xml:space="preserve">   Togo</v>
      </c>
      <c r="C433" s="2">
        <v>592868</v>
      </c>
      <c r="D433" s="2">
        <v>80948460</v>
      </c>
    </row>
    <row r="434" spans="1:4" x14ac:dyDescent="0.25">
      <c r="B434" t="str">
        <f>T("   Afrique du Sud")</f>
        <v xml:space="preserve">   Afrique du Sud</v>
      </c>
      <c r="C434" s="2">
        <v>16298663</v>
      </c>
      <c r="D434" s="2">
        <v>1686328143</v>
      </c>
    </row>
    <row r="435" spans="1:4" s="6" customFormat="1" x14ac:dyDescent="0.25">
      <c r="B435" s="6" t="str">
        <f>T("   Total Monde")</f>
        <v xml:space="preserve">   Total Monde</v>
      </c>
      <c r="C435" s="1">
        <v>23489254</v>
      </c>
      <c r="D435" s="1">
        <v>2643351592</v>
      </c>
    </row>
    <row r="436" spans="1:4" s="6" customFormat="1" x14ac:dyDescent="0.25">
      <c r="A436" s="6" t="str">
        <f>T("230660")</f>
        <v>230660</v>
      </c>
      <c r="B436" s="6" t="str">
        <f>T("DE NOIX OU D'AMANDES DE PALMISTE")</f>
        <v>DE NOIX OU D'AMANDES DE PALMISTE</v>
      </c>
      <c r="C436" s="1"/>
      <c r="D436" s="1"/>
    </row>
    <row r="437" spans="1:4" x14ac:dyDescent="0.25">
      <c r="B437" t="str">
        <f>T("   Nigéria")</f>
        <v xml:space="preserve">   Nigéria</v>
      </c>
      <c r="C437" s="2">
        <v>16980</v>
      </c>
      <c r="D437" s="2">
        <v>3412980</v>
      </c>
    </row>
    <row r="438" spans="1:4" s="6" customFormat="1" x14ac:dyDescent="0.25">
      <c r="B438" s="6" t="str">
        <f>T("   Total Monde")</f>
        <v xml:space="preserve">   Total Monde</v>
      </c>
      <c r="C438" s="1">
        <v>16980</v>
      </c>
      <c r="D438" s="1">
        <v>3412980</v>
      </c>
    </row>
    <row r="439" spans="1:4" s="6" customFormat="1" x14ac:dyDescent="0.25">
      <c r="A439" s="6" t="str">
        <f>T("230690")</f>
        <v>230690</v>
      </c>
      <c r="B439" s="6" t="str">
        <f>T("AUTRES")</f>
        <v>AUTRES</v>
      </c>
      <c r="C439" s="1"/>
      <c r="D439" s="1"/>
    </row>
    <row r="440" spans="1:4" x14ac:dyDescent="0.25">
      <c r="B440" t="str">
        <f>T("   Chine")</f>
        <v xml:space="preserve">   Chine</v>
      </c>
      <c r="C440" s="2">
        <v>487076</v>
      </c>
      <c r="D440" s="2">
        <v>18188489</v>
      </c>
    </row>
    <row r="441" spans="1:4" x14ac:dyDescent="0.25">
      <c r="B441" t="str">
        <f>T("   Inde")</f>
        <v xml:space="preserve">   Inde</v>
      </c>
      <c r="C441" s="2">
        <v>1469071</v>
      </c>
      <c r="D441" s="2">
        <v>54858346</v>
      </c>
    </row>
    <row r="442" spans="1:4" x14ac:dyDescent="0.25">
      <c r="B442" t="str">
        <f>T("   Italie")</f>
        <v xml:space="preserve">   Italie</v>
      </c>
      <c r="C442" s="2">
        <v>535.79999999999995</v>
      </c>
      <c r="D442" s="2">
        <v>17711</v>
      </c>
    </row>
    <row r="443" spans="1:4" x14ac:dyDescent="0.25">
      <c r="B443" t="str">
        <f>T("   Afrique du Sud")</f>
        <v xml:space="preserve">   Afrique du Sud</v>
      </c>
      <c r="C443" s="2">
        <v>1045538</v>
      </c>
      <c r="D443" s="2">
        <v>55700905</v>
      </c>
    </row>
    <row r="444" spans="1:4" s="6" customFormat="1" x14ac:dyDescent="0.25">
      <c r="B444" s="6" t="str">
        <f>T("   Total Monde")</f>
        <v xml:space="preserve">   Total Monde</v>
      </c>
      <c r="C444" s="1">
        <v>3002220.8</v>
      </c>
      <c r="D444" s="1">
        <v>128765451</v>
      </c>
    </row>
    <row r="445" spans="1:4" s="6" customFormat="1" x14ac:dyDescent="0.25">
      <c r="A445" s="6" t="str">
        <f>T("240220")</f>
        <v>240220</v>
      </c>
      <c r="B445" s="6" t="str">
        <f>T("Cigarettes contenant du tabac")</f>
        <v>Cigarettes contenant du tabac</v>
      </c>
      <c r="C445" s="1"/>
      <c r="D445" s="1"/>
    </row>
    <row r="446" spans="1:4" x14ac:dyDescent="0.25">
      <c r="B446" t="str">
        <f>T("   Togo")</f>
        <v xml:space="preserve">   Togo</v>
      </c>
      <c r="C446" s="2">
        <v>12000</v>
      </c>
      <c r="D446" s="2">
        <v>156000000</v>
      </c>
    </row>
    <row r="447" spans="1:4" s="6" customFormat="1" x14ac:dyDescent="0.25">
      <c r="B447" s="6" t="str">
        <f>T("   Total Monde")</f>
        <v xml:space="preserve">   Total Monde</v>
      </c>
      <c r="C447" s="1">
        <v>12000</v>
      </c>
      <c r="D447" s="1">
        <v>156000000</v>
      </c>
    </row>
    <row r="448" spans="1:4" s="6" customFormat="1" x14ac:dyDescent="0.25">
      <c r="A448" s="6" t="str">
        <f>T("240399")</f>
        <v>240399</v>
      </c>
      <c r="B448" s="6" t="str">
        <f>T("AUTRES")</f>
        <v>AUTRES</v>
      </c>
      <c r="C448" s="1"/>
      <c r="D448" s="1"/>
    </row>
    <row r="449" spans="1:4" x14ac:dyDescent="0.25">
      <c r="B449" t="str">
        <f>T("   Emirats Arabes Unis")</f>
        <v xml:space="preserve">   Emirats Arabes Unis</v>
      </c>
      <c r="C449" s="2">
        <v>16125</v>
      </c>
      <c r="D449" s="2">
        <v>37466674</v>
      </c>
    </row>
    <row r="450" spans="1:4" s="6" customFormat="1" x14ac:dyDescent="0.25">
      <c r="B450" s="6" t="str">
        <f>T("   Total Monde")</f>
        <v xml:space="preserve">   Total Monde</v>
      </c>
      <c r="C450" s="1">
        <v>16125</v>
      </c>
      <c r="D450" s="1">
        <v>37466674</v>
      </c>
    </row>
    <row r="451" spans="1:4" s="6" customFormat="1" x14ac:dyDescent="0.25">
      <c r="A451" s="6" t="str">
        <f>T("250590")</f>
        <v>250590</v>
      </c>
      <c r="B451" s="6" t="str">
        <f>T("AUTRES SABLES")</f>
        <v>AUTRES SABLES</v>
      </c>
      <c r="C451" s="1"/>
      <c r="D451" s="1"/>
    </row>
    <row r="452" spans="1:4" x14ac:dyDescent="0.25">
      <c r="B452" t="str">
        <f>T("   Burkina Faso")</f>
        <v xml:space="preserve">   Burkina Faso</v>
      </c>
      <c r="C452" s="2">
        <v>239</v>
      </c>
      <c r="D452" s="2">
        <v>246000</v>
      </c>
    </row>
    <row r="453" spans="1:4" s="6" customFormat="1" x14ac:dyDescent="0.25">
      <c r="B453" s="6" t="str">
        <f>T("   Total Monde")</f>
        <v xml:space="preserve">   Total Monde</v>
      </c>
      <c r="C453" s="1">
        <v>239</v>
      </c>
      <c r="D453" s="1">
        <v>246000</v>
      </c>
    </row>
    <row r="454" spans="1:4" s="6" customFormat="1" x14ac:dyDescent="0.25">
      <c r="A454" s="6" t="str">
        <f>T("250620")</f>
        <v>250620</v>
      </c>
      <c r="B454" s="6" t="str">
        <f>T("QUARTZITES")</f>
        <v>QUARTZITES</v>
      </c>
      <c r="C454" s="1"/>
      <c r="D454" s="1"/>
    </row>
    <row r="455" spans="1:4" x14ac:dyDescent="0.25">
      <c r="B455" t="str">
        <f>T("   Moldova, République de")</f>
        <v xml:space="preserve">   Moldova, République de</v>
      </c>
      <c r="C455" s="2">
        <v>3700</v>
      </c>
      <c r="D455" s="2">
        <v>41250</v>
      </c>
    </row>
    <row r="456" spans="1:4" s="6" customFormat="1" x14ac:dyDescent="0.25">
      <c r="B456" s="6" t="str">
        <f>T("   Total Monde")</f>
        <v xml:space="preserve">   Total Monde</v>
      </c>
      <c r="C456" s="1">
        <v>3700</v>
      </c>
      <c r="D456" s="1">
        <v>41250</v>
      </c>
    </row>
    <row r="457" spans="1:4" s="6" customFormat="1" x14ac:dyDescent="0.25">
      <c r="A457" s="6" t="str">
        <f>T("250810")</f>
        <v>250810</v>
      </c>
      <c r="B457" s="6" t="str">
        <f>T("BENTONITE")</f>
        <v>BENTONITE</v>
      </c>
      <c r="C457" s="1"/>
      <c r="D457" s="1"/>
    </row>
    <row r="458" spans="1:4" x14ac:dyDescent="0.25">
      <c r="B458" t="str">
        <f>T("   Gabon")</f>
        <v xml:space="preserve">   Gabon</v>
      </c>
      <c r="C458" s="2">
        <v>82000</v>
      </c>
      <c r="D458" s="2">
        <v>1203316546</v>
      </c>
    </row>
    <row r="459" spans="1:4" s="6" customFormat="1" x14ac:dyDescent="0.25">
      <c r="B459" s="6" t="str">
        <f>T("   Total Monde")</f>
        <v xml:space="preserve">   Total Monde</v>
      </c>
      <c r="C459" s="1">
        <v>82000</v>
      </c>
      <c r="D459" s="1">
        <v>1203316546</v>
      </c>
    </row>
    <row r="460" spans="1:4" s="6" customFormat="1" x14ac:dyDescent="0.25">
      <c r="A460" s="6" t="str">
        <f>T("251110")</f>
        <v>251110</v>
      </c>
      <c r="B460" s="6" t="str">
        <f>T("SULFATE DE BARYUM NATUREL (BARYTINE)")</f>
        <v>SULFATE DE BARYUM NATUREL (BARYTINE)</v>
      </c>
      <c r="C460" s="1"/>
      <c r="D460" s="1"/>
    </row>
    <row r="461" spans="1:4" x14ac:dyDescent="0.25">
      <c r="B461" t="str">
        <f>T("   Ghana")</f>
        <v xml:space="preserve">   Ghana</v>
      </c>
      <c r="C461" s="2">
        <v>10907</v>
      </c>
      <c r="D461" s="2">
        <v>125887789</v>
      </c>
    </row>
    <row r="462" spans="1:4" x14ac:dyDescent="0.25">
      <c r="B462" t="str">
        <f>T("   Turquie")</f>
        <v xml:space="preserve">   Turquie</v>
      </c>
      <c r="C462" s="2">
        <v>978709</v>
      </c>
      <c r="D462" s="2">
        <v>381460033</v>
      </c>
    </row>
    <row r="463" spans="1:4" s="6" customFormat="1" x14ac:dyDescent="0.25">
      <c r="B463" s="6" t="str">
        <f>T("   Total Monde")</f>
        <v xml:space="preserve">   Total Monde</v>
      </c>
      <c r="C463" s="1">
        <v>989616</v>
      </c>
      <c r="D463" s="1">
        <v>507347822</v>
      </c>
    </row>
    <row r="464" spans="1:4" s="6" customFormat="1" x14ac:dyDescent="0.25">
      <c r="A464" s="6" t="str">
        <f>T("251520")</f>
        <v>251520</v>
      </c>
      <c r="B464" s="6" t="str">
        <f>T("ECAUSSINES ET AUTRES PIERRES CALCAIRES DE TAILLE OU DE CONSTRUCTION; ALBATRE")</f>
        <v>ECAUSSINES ET AUTRES PIERRES CALCAIRES DE TAILLE OU DE CONSTRUCTION; ALBATRE</v>
      </c>
      <c r="C464" s="1"/>
      <c r="D464" s="1"/>
    </row>
    <row r="465" spans="1:4" x14ac:dyDescent="0.25">
      <c r="B465" t="str">
        <f>T("   Togo")</f>
        <v xml:space="preserve">   Togo</v>
      </c>
      <c r="C465" s="2">
        <v>42385000</v>
      </c>
      <c r="D465" s="2">
        <v>434930790</v>
      </c>
    </row>
    <row r="466" spans="1:4" s="6" customFormat="1" x14ac:dyDescent="0.25">
      <c r="B466" s="6" t="str">
        <f>T("   Total Monde")</f>
        <v xml:space="preserve">   Total Monde</v>
      </c>
      <c r="C466" s="1">
        <v>42385000</v>
      </c>
      <c r="D466" s="1">
        <v>434930790</v>
      </c>
    </row>
    <row r="467" spans="1:4" s="6" customFormat="1" x14ac:dyDescent="0.25">
      <c r="A467" s="6" t="str">
        <f>T("251690")</f>
        <v>251690</v>
      </c>
      <c r="B467" s="6" t="str">
        <f>T("AUTRES PIERRES DE TAILLE OU DE CONSTRUCTION")</f>
        <v>AUTRES PIERRES DE TAILLE OU DE CONSTRUCTION</v>
      </c>
      <c r="C467" s="1"/>
      <c r="D467" s="1"/>
    </row>
    <row r="468" spans="1:4" x14ac:dyDescent="0.25">
      <c r="B468" t="str">
        <f>T("   Belize")</f>
        <v xml:space="preserve">   Belize</v>
      </c>
      <c r="C468" s="2">
        <v>169</v>
      </c>
      <c r="D468" s="2">
        <v>3983168</v>
      </c>
    </row>
    <row r="469" spans="1:4" x14ac:dyDescent="0.25">
      <c r="B469" t="str">
        <f>T("   Etats-Unis")</f>
        <v xml:space="preserve">   Etats-Unis</v>
      </c>
      <c r="C469" s="2">
        <v>10000</v>
      </c>
      <c r="D469" s="2">
        <v>16363028</v>
      </c>
    </row>
    <row r="470" spans="1:4" s="6" customFormat="1" x14ac:dyDescent="0.25">
      <c r="B470" s="6" t="str">
        <f>T("   Total Monde")</f>
        <v xml:space="preserve">   Total Monde</v>
      </c>
      <c r="C470" s="1">
        <v>10169</v>
      </c>
      <c r="D470" s="1">
        <v>20346196</v>
      </c>
    </row>
    <row r="471" spans="1:4" s="6" customFormat="1" x14ac:dyDescent="0.25">
      <c r="A471" s="6" t="str">
        <f>T("252020")</f>
        <v>252020</v>
      </c>
      <c r="B471" s="6" t="str">
        <f>T("PLATRES")</f>
        <v>PLATRES</v>
      </c>
      <c r="C471" s="1"/>
      <c r="D471" s="1"/>
    </row>
    <row r="472" spans="1:4" x14ac:dyDescent="0.25">
      <c r="B472" t="str">
        <f>T("   Tchad")</f>
        <v xml:space="preserve">   Tchad</v>
      </c>
      <c r="C472" s="2">
        <v>113000</v>
      </c>
      <c r="D472" s="2">
        <v>13560000</v>
      </c>
    </row>
    <row r="473" spans="1:4" s="6" customFormat="1" x14ac:dyDescent="0.25">
      <c r="B473" s="6" t="str">
        <f>T("   Total Monde")</f>
        <v xml:space="preserve">   Total Monde</v>
      </c>
      <c r="C473" s="1">
        <v>113000</v>
      </c>
      <c r="D473" s="1">
        <v>13560000</v>
      </c>
    </row>
    <row r="474" spans="1:4" s="6" customFormat="1" x14ac:dyDescent="0.25">
      <c r="A474" s="6" t="str">
        <f>T("252310")</f>
        <v>252310</v>
      </c>
      <c r="B474" s="6" t="str">
        <f>T("CIMENTS NON PULVERISES DITS «CLINKERS»")</f>
        <v>CIMENTS NON PULVERISES DITS «CLINKERS»</v>
      </c>
      <c r="C474" s="1"/>
      <c r="D474" s="1"/>
    </row>
    <row r="475" spans="1:4" x14ac:dyDescent="0.25">
      <c r="B475" t="str">
        <f>T("   Niger")</f>
        <v xml:space="preserve">   Niger</v>
      </c>
      <c r="C475" s="2">
        <v>123000000</v>
      </c>
      <c r="D475" s="2">
        <v>8856000000</v>
      </c>
    </row>
    <row r="476" spans="1:4" s="6" customFormat="1" x14ac:dyDescent="0.25">
      <c r="B476" s="6" t="str">
        <f>T("   Total Monde")</f>
        <v xml:space="preserve">   Total Monde</v>
      </c>
      <c r="C476" s="1">
        <v>123000000</v>
      </c>
      <c r="D476" s="1">
        <v>8856000000</v>
      </c>
    </row>
    <row r="477" spans="1:4" s="6" customFormat="1" x14ac:dyDescent="0.25">
      <c r="A477" s="6" t="str">
        <f>T("252329")</f>
        <v>252329</v>
      </c>
      <c r="B477" s="6" t="str">
        <f>T("AUTRES")</f>
        <v>AUTRES</v>
      </c>
      <c r="C477" s="1"/>
      <c r="D477" s="1"/>
    </row>
    <row r="478" spans="1:4" x14ac:dyDescent="0.25">
      <c r="B478" t="str">
        <f>T("   Niger")</f>
        <v xml:space="preserve">   Niger</v>
      </c>
      <c r="C478" s="2">
        <v>101947000</v>
      </c>
      <c r="D478" s="2">
        <v>6387261000</v>
      </c>
    </row>
    <row r="479" spans="1:4" s="6" customFormat="1" x14ac:dyDescent="0.25">
      <c r="B479" s="6" t="str">
        <f>T("   Total Monde")</f>
        <v xml:space="preserve">   Total Monde</v>
      </c>
      <c r="C479" s="1">
        <v>101947000</v>
      </c>
      <c r="D479" s="1">
        <v>6387261000</v>
      </c>
    </row>
    <row r="480" spans="1:4" s="6" customFormat="1" x14ac:dyDescent="0.25">
      <c r="A480" s="6" t="str">
        <f>T("252390")</f>
        <v>252390</v>
      </c>
      <c r="B480" s="6" t="str">
        <f>T("AUTRES CIMENTS HYDRAULIQUES")</f>
        <v>AUTRES CIMENTS HYDRAULIQUES</v>
      </c>
      <c r="C480" s="1"/>
      <c r="D480" s="1"/>
    </row>
    <row r="481" spans="1:4" x14ac:dyDescent="0.25">
      <c r="B481" t="str">
        <f>T("   Gabon")</f>
        <v xml:space="preserve">   Gabon</v>
      </c>
      <c r="C481" s="2">
        <v>3000</v>
      </c>
      <c r="D481" s="2">
        <v>543208</v>
      </c>
    </row>
    <row r="482" spans="1:4" x14ac:dyDescent="0.25">
      <c r="B482" t="str">
        <f>T("   Togo")</f>
        <v xml:space="preserve">   Togo</v>
      </c>
      <c r="C482" s="2">
        <v>6000</v>
      </c>
      <c r="D482" s="2">
        <v>11100000</v>
      </c>
    </row>
    <row r="483" spans="1:4" s="6" customFormat="1" x14ac:dyDescent="0.25">
      <c r="B483" s="6" t="str">
        <f>T("   Total Monde")</f>
        <v xml:space="preserve">   Total Monde</v>
      </c>
      <c r="C483" s="1">
        <v>9000</v>
      </c>
      <c r="D483" s="1">
        <v>11643208</v>
      </c>
    </row>
    <row r="484" spans="1:4" s="6" customFormat="1" x14ac:dyDescent="0.25">
      <c r="A484" s="6" t="str">
        <f>T("252520")</f>
        <v>252520</v>
      </c>
      <c r="B484" s="6" t="str">
        <f>T("Mica en poudre")</f>
        <v>Mica en poudre</v>
      </c>
      <c r="C484" s="1"/>
      <c r="D484" s="1"/>
    </row>
    <row r="485" spans="1:4" x14ac:dyDescent="0.25">
      <c r="B485" t="str">
        <f>T("   Côte d'Ivoire")</f>
        <v xml:space="preserve">   Côte d'Ivoire</v>
      </c>
      <c r="C485" s="2">
        <v>27245</v>
      </c>
      <c r="D485" s="2">
        <v>49744291</v>
      </c>
    </row>
    <row r="486" spans="1:4" s="6" customFormat="1" x14ac:dyDescent="0.25">
      <c r="B486" s="6" t="str">
        <f>T("   Total Monde")</f>
        <v xml:space="preserve">   Total Monde</v>
      </c>
      <c r="C486" s="1">
        <v>27245</v>
      </c>
      <c r="D486" s="1">
        <v>49744291</v>
      </c>
    </row>
    <row r="487" spans="1:4" s="6" customFormat="1" x14ac:dyDescent="0.25">
      <c r="A487" s="6" t="str">
        <f>T("253090")</f>
        <v>253090</v>
      </c>
      <c r="B487" s="6" t="str">
        <f>T("AUTRES")</f>
        <v>AUTRES</v>
      </c>
      <c r="C487" s="1"/>
      <c r="D487" s="1"/>
    </row>
    <row r="488" spans="1:4" x14ac:dyDescent="0.25">
      <c r="B488" t="str">
        <f>T("   Pays-bas")</f>
        <v xml:space="preserve">   Pays-bas</v>
      </c>
      <c r="C488" s="2">
        <v>310</v>
      </c>
      <c r="D488" s="2">
        <v>149370</v>
      </c>
    </row>
    <row r="489" spans="1:4" s="6" customFormat="1" x14ac:dyDescent="0.25">
      <c r="B489" s="6" t="str">
        <f>T("   Total Monde")</f>
        <v xml:space="preserve">   Total Monde</v>
      </c>
      <c r="C489" s="1">
        <v>310</v>
      </c>
      <c r="D489" s="1">
        <v>149370</v>
      </c>
    </row>
    <row r="490" spans="1:4" s="6" customFormat="1" x14ac:dyDescent="0.25">
      <c r="A490" s="6" t="str">
        <f>T("271019")</f>
        <v>271019</v>
      </c>
      <c r="B490" s="6" t="str">
        <f>T("AUTRES")</f>
        <v>AUTRES</v>
      </c>
      <c r="C490" s="1"/>
      <c r="D490" s="1"/>
    </row>
    <row r="491" spans="1:4" x14ac:dyDescent="0.25">
      <c r="B491" t="str">
        <f>T("   Emirats Arabes Unis")</f>
        <v xml:space="preserve">   Emirats Arabes Unis</v>
      </c>
      <c r="C491" s="2">
        <v>30000</v>
      </c>
      <c r="D491" s="2">
        <v>10244400</v>
      </c>
    </row>
    <row r="492" spans="1:4" x14ac:dyDescent="0.25">
      <c r="B492" t="str">
        <f>T("   Suisse")</f>
        <v xml:space="preserve">   Suisse</v>
      </c>
      <c r="C492" s="2">
        <v>21526</v>
      </c>
      <c r="D492" s="2">
        <v>115846458</v>
      </c>
    </row>
    <row r="493" spans="1:4" x14ac:dyDescent="0.25">
      <c r="B493" t="str">
        <f>T("   Gabon")</f>
        <v xml:space="preserve">   Gabon</v>
      </c>
      <c r="C493" s="2">
        <v>9601</v>
      </c>
      <c r="D493" s="2">
        <v>21885018</v>
      </c>
    </row>
    <row r="494" spans="1:4" x14ac:dyDescent="0.25">
      <c r="B494" t="str">
        <f>T("   Pays-bas")</f>
        <v xml:space="preserve">   Pays-bas</v>
      </c>
      <c r="C494" s="2">
        <v>6064</v>
      </c>
      <c r="D494" s="2">
        <v>43155633</v>
      </c>
    </row>
    <row r="495" spans="1:4" s="6" customFormat="1" x14ac:dyDescent="0.25">
      <c r="B495" s="6" t="str">
        <f>T("   Total Monde")</f>
        <v xml:space="preserve">   Total Monde</v>
      </c>
      <c r="C495" s="1">
        <v>67191</v>
      </c>
      <c r="D495" s="1">
        <v>191131509</v>
      </c>
    </row>
    <row r="496" spans="1:4" s="6" customFormat="1" x14ac:dyDescent="0.25">
      <c r="A496" s="6" t="str">
        <f>T("271500")</f>
        <v>271500</v>
      </c>
      <c r="B496" s="6" t="str">
        <f>T("MELANGES BITUMINEUX A BASE D'ASPHALTE OU DE BITUME NATURELS, DE BITUME DE PETROLE, DE G")</f>
        <v>MELANGES BITUMINEUX A BASE D'ASPHALTE OU DE BITUME NATURELS, DE BITUME DE PETROLE, DE G</v>
      </c>
      <c r="C496" s="1"/>
      <c r="D496" s="1"/>
    </row>
    <row r="497" spans="1:4" x14ac:dyDescent="0.25">
      <c r="B497" t="str">
        <f>T("   Burkina Faso")</f>
        <v xml:space="preserve">   Burkina Faso</v>
      </c>
      <c r="C497" s="2">
        <v>586.23</v>
      </c>
      <c r="D497" s="2">
        <v>240354300</v>
      </c>
    </row>
    <row r="498" spans="1:4" x14ac:dyDescent="0.25">
      <c r="B498" t="str">
        <f>T("   Togo")</f>
        <v xml:space="preserve">   Togo</v>
      </c>
      <c r="C498" s="2">
        <v>495000</v>
      </c>
      <c r="D498" s="2">
        <v>152243180</v>
      </c>
    </row>
    <row r="499" spans="1:4" s="6" customFormat="1" x14ac:dyDescent="0.25">
      <c r="B499" s="6" t="str">
        <f>T("   Total Monde")</f>
        <v xml:space="preserve">   Total Monde</v>
      </c>
      <c r="C499" s="1">
        <v>495586.23</v>
      </c>
      <c r="D499" s="1">
        <v>392597480</v>
      </c>
    </row>
    <row r="500" spans="1:4" s="6" customFormat="1" x14ac:dyDescent="0.25">
      <c r="A500" s="6" t="str">
        <f>T("280430")</f>
        <v>280430</v>
      </c>
      <c r="B500" s="6" t="str">
        <f>T("Azote")</f>
        <v>Azote</v>
      </c>
      <c r="C500" s="1"/>
      <c r="D500" s="1"/>
    </row>
    <row r="501" spans="1:4" x14ac:dyDescent="0.25">
      <c r="B501" t="str">
        <f>T("   Ghana")</f>
        <v xml:space="preserve">   Ghana</v>
      </c>
      <c r="C501" s="2">
        <v>33000</v>
      </c>
      <c r="D501" s="2">
        <v>14562312</v>
      </c>
    </row>
    <row r="502" spans="1:4" s="6" customFormat="1" x14ac:dyDescent="0.25">
      <c r="B502" s="6" t="str">
        <f>T("   Total Monde")</f>
        <v xml:space="preserve">   Total Monde</v>
      </c>
      <c r="C502" s="1">
        <v>33000</v>
      </c>
      <c r="D502" s="1">
        <v>14562312</v>
      </c>
    </row>
    <row r="503" spans="1:4" s="6" customFormat="1" x14ac:dyDescent="0.25">
      <c r="A503" s="6" t="str">
        <f>T("280519")</f>
        <v>280519</v>
      </c>
      <c r="B503" s="6" t="str">
        <f>T("AUTRES")</f>
        <v>AUTRES</v>
      </c>
      <c r="C503" s="1"/>
      <c r="D503" s="1"/>
    </row>
    <row r="504" spans="1:4" x14ac:dyDescent="0.25">
      <c r="B504" t="str">
        <f>T("   Niger")</f>
        <v xml:space="preserve">   Niger</v>
      </c>
      <c r="C504" s="2">
        <v>834</v>
      </c>
      <c r="D504" s="2">
        <v>350000</v>
      </c>
    </row>
    <row r="505" spans="1:4" s="6" customFormat="1" x14ac:dyDescent="0.25">
      <c r="B505" s="6" t="str">
        <f>T("   Total Monde")</f>
        <v xml:space="preserve">   Total Monde</v>
      </c>
      <c r="C505" s="1">
        <v>834</v>
      </c>
      <c r="D505" s="1">
        <v>350000</v>
      </c>
    </row>
    <row r="506" spans="1:4" s="6" customFormat="1" x14ac:dyDescent="0.25">
      <c r="A506" s="6" t="str">
        <f>T("281511")</f>
        <v>281511</v>
      </c>
      <c r="B506" s="6" t="str">
        <f>T("SOLIDE")</f>
        <v>SOLIDE</v>
      </c>
      <c r="C506" s="1"/>
      <c r="D506" s="1"/>
    </row>
    <row r="507" spans="1:4" x14ac:dyDescent="0.25">
      <c r="B507" t="str">
        <f>T("   Gabon")</f>
        <v xml:space="preserve">   Gabon</v>
      </c>
      <c r="C507" s="2">
        <v>1480</v>
      </c>
      <c r="D507" s="2">
        <v>11253942</v>
      </c>
    </row>
    <row r="508" spans="1:4" s="6" customFormat="1" x14ac:dyDescent="0.25">
      <c r="B508" s="6" t="str">
        <f>T("   Total Monde")</f>
        <v xml:space="preserve">   Total Monde</v>
      </c>
      <c r="C508" s="1">
        <v>1480</v>
      </c>
      <c r="D508" s="1">
        <v>11253942</v>
      </c>
    </row>
    <row r="509" spans="1:4" s="6" customFormat="1" x14ac:dyDescent="0.25">
      <c r="A509" s="6" t="str">
        <f>T("283322")</f>
        <v>283322</v>
      </c>
      <c r="B509" s="6" t="str">
        <f>T("D'ALUMINIUM")</f>
        <v>D'ALUMINIUM</v>
      </c>
      <c r="C509" s="1"/>
      <c r="D509" s="1"/>
    </row>
    <row r="510" spans="1:4" x14ac:dyDescent="0.25">
      <c r="B510" t="str">
        <f>T("   Côte d'Ivoire")</f>
        <v xml:space="preserve">   Côte d'Ivoire</v>
      </c>
      <c r="C510" s="2">
        <v>2870</v>
      </c>
      <c r="D510" s="2">
        <v>6129598</v>
      </c>
    </row>
    <row r="511" spans="1:4" s="6" customFormat="1" x14ac:dyDescent="0.25">
      <c r="B511" s="6" t="str">
        <f>T("   Total Monde")</f>
        <v xml:space="preserve">   Total Monde</v>
      </c>
      <c r="C511" s="1">
        <v>2870</v>
      </c>
      <c r="D511" s="1">
        <v>6129598</v>
      </c>
    </row>
    <row r="512" spans="1:4" s="6" customFormat="1" x14ac:dyDescent="0.25">
      <c r="A512" s="6" t="str">
        <f>T("283650")</f>
        <v>283650</v>
      </c>
      <c r="B512" s="6" t="str">
        <f>T("Carbonate de calcium")</f>
        <v>Carbonate de calcium</v>
      </c>
      <c r="C512" s="1"/>
      <c r="D512" s="1"/>
    </row>
    <row r="513" spans="1:4" x14ac:dyDescent="0.25">
      <c r="B513" t="str">
        <f>T("   Ghana")</f>
        <v xml:space="preserve">   Ghana</v>
      </c>
      <c r="C513" s="2">
        <v>10000</v>
      </c>
      <c r="D513" s="2">
        <v>2260000</v>
      </c>
    </row>
    <row r="514" spans="1:4" s="6" customFormat="1" x14ac:dyDescent="0.25">
      <c r="B514" s="6" t="str">
        <f>T("   Total Monde")</f>
        <v xml:space="preserve">   Total Monde</v>
      </c>
      <c r="C514" s="1">
        <v>10000</v>
      </c>
      <c r="D514" s="1">
        <v>2260000</v>
      </c>
    </row>
    <row r="515" spans="1:4" s="6" customFormat="1" x14ac:dyDescent="0.25">
      <c r="A515" s="6" t="str">
        <f>T("284440")</f>
        <v>284440</v>
      </c>
      <c r="B515" s="6" t="str">
        <f>T("ELEMENTS ET ISOTOPES ET COMPOSES RADIOACTIFS AUTRES QUE CEUX DES N°S 2844.10, 2844.20")</f>
        <v>ELEMENTS ET ISOTOPES ET COMPOSES RADIOACTIFS AUTRES QUE CEUX DES N°S 2844.10, 2844.20</v>
      </c>
      <c r="C515" s="1"/>
      <c r="D515" s="1"/>
    </row>
    <row r="516" spans="1:4" x14ac:dyDescent="0.25">
      <c r="B516" t="str">
        <f>T("   Gabon")</f>
        <v xml:space="preserve">   Gabon</v>
      </c>
      <c r="C516" s="2">
        <v>823</v>
      </c>
      <c r="D516" s="2">
        <v>9402268</v>
      </c>
    </row>
    <row r="517" spans="1:4" x14ac:dyDescent="0.25">
      <c r="B517" t="str">
        <f>T("   Ghana")</f>
        <v xml:space="preserve">   Ghana</v>
      </c>
      <c r="C517" s="2">
        <v>5070</v>
      </c>
      <c r="D517" s="2">
        <v>111058053</v>
      </c>
    </row>
    <row r="518" spans="1:4" s="6" customFormat="1" x14ac:dyDescent="0.25">
      <c r="B518" s="6" t="str">
        <f>T("   Total Monde")</f>
        <v xml:space="preserve">   Total Monde</v>
      </c>
      <c r="C518" s="1">
        <v>5893</v>
      </c>
      <c r="D518" s="1">
        <v>120460321</v>
      </c>
    </row>
    <row r="519" spans="1:4" s="6" customFormat="1" x14ac:dyDescent="0.25">
      <c r="A519" s="6" t="str">
        <f>T("290516")</f>
        <v>290516</v>
      </c>
      <c r="B519" s="6" t="str">
        <f>T("OCTANOL (ALCOOL OCTYLIQUE) ET SES ISOMERES")</f>
        <v>OCTANOL (ALCOOL OCTYLIQUE) ET SES ISOMERES</v>
      </c>
      <c r="C519" s="1"/>
      <c r="D519" s="1"/>
    </row>
    <row r="520" spans="1:4" x14ac:dyDescent="0.25">
      <c r="B520" t="str">
        <f>T("   Etats-Unis")</f>
        <v xml:space="preserve">   Etats-Unis</v>
      </c>
      <c r="C520" s="2">
        <v>140</v>
      </c>
      <c r="D520" s="2">
        <v>1630296</v>
      </c>
    </row>
    <row r="521" spans="1:4" s="6" customFormat="1" x14ac:dyDescent="0.25">
      <c r="B521" s="6" t="str">
        <f>T("   Total Monde")</f>
        <v xml:space="preserve">   Total Monde</v>
      </c>
      <c r="C521" s="1">
        <v>140</v>
      </c>
      <c r="D521" s="1">
        <v>1630296</v>
      </c>
    </row>
    <row r="522" spans="1:4" s="6" customFormat="1" x14ac:dyDescent="0.25">
      <c r="A522" s="6" t="str">
        <f>T("290943")</f>
        <v>290943</v>
      </c>
      <c r="B522" s="6" t="str">
        <f>T("ETHERS MONOBUTYLIQUES DE L'ETHYLENE GLYCOL OU DU DIETHYLENE GLYCOL")</f>
        <v>ETHERS MONOBUTYLIQUES DE L'ETHYLENE GLYCOL OU DU DIETHYLENE GLYCOL</v>
      </c>
      <c r="C522" s="1"/>
      <c r="D522" s="1"/>
    </row>
    <row r="523" spans="1:4" x14ac:dyDescent="0.25">
      <c r="B523" t="str">
        <f>T("   Gabon")</f>
        <v xml:space="preserve">   Gabon</v>
      </c>
      <c r="C523" s="2">
        <v>175950</v>
      </c>
      <c r="D523" s="2">
        <v>521803472</v>
      </c>
    </row>
    <row r="524" spans="1:4" s="6" customFormat="1" x14ac:dyDescent="0.25">
      <c r="B524" s="6" t="str">
        <f>T("   Total Monde")</f>
        <v xml:space="preserve">   Total Monde</v>
      </c>
      <c r="C524" s="1">
        <v>175950</v>
      </c>
      <c r="D524" s="1">
        <v>521803472</v>
      </c>
    </row>
    <row r="525" spans="1:4" s="6" customFormat="1" x14ac:dyDescent="0.25">
      <c r="A525" s="6" t="str">
        <f>T("300210")</f>
        <v>300210</v>
      </c>
      <c r="B525" s="6" t="str">
        <f>T("ANTISERUMS, AUTRES FRACTIONS DU SANG ET PRODUITS IMMUNOLOGIQUES, MEME MODIFIES OU OBT")</f>
        <v>ANTISERUMS, AUTRES FRACTIONS DU SANG ET PRODUITS IMMUNOLOGIQUES, MEME MODIFIES OU OBT</v>
      </c>
      <c r="C525" s="1"/>
      <c r="D525" s="1"/>
    </row>
    <row r="526" spans="1:4" x14ac:dyDescent="0.25">
      <c r="B526" t="str">
        <f>T("   Belgique")</f>
        <v xml:space="preserve">   Belgique</v>
      </c>
      <c r="C526" s="2">
        <v>14</v>
      </c>
      <c r="D526" s="2">
        <v>3280</v>
      </c>
    </row>
    <row r="527" spans="1:4" s="6" customFormat="1" x14ac:dyDescent="0.25">
      <c r="B527" s="6" t="str">
        <f>T("   Total Monde")</f>
        <v xml:space="preserve">   Total Monde</v>
      </c>
      <c r="C527" s="1">
        <v>14</v>
      </c>
      <c r="D527" s="1">
        <v>3280</v>
      </c>
    </row>
    <row r="528" spans="1:4" s="6" customFormat="1" x14ac:dyDescent="0.25">
      <c r="A528" s="6" t="str">
        <f>T("300390")</f>
        <v>300390</v>
      </c>
      <c r="B528" s="6" t="str">
        <f>T("AUTRES")</f>
        <v>AUTRES</v>
      </c>
      <c r="C528" s="1"/>
      <c r="D528" s="1"/>
    </row>
    <row r="529" spans="1:4" x14ac:dyDescent="0.25">
      <c r="B529" t="str">
        <f>T("   Cameroun")</f>
        <v xml:space="preserve">   Cameroun</v>
      </c>
      <c r="C529" s="2">
        <v>36236</v>
      </c>
      <c r="D529" s="2">
        <v>435896982</v>
      </c>
    </row>
    <row r="530" spans="1:4" s="6" customFormat="1" x14ac:dyDescent="0.25">
      <c r="B530" s="6" t="str">
        <f>T("   Total Monde")</f>
        <v xml:space="preserve">   Total Monde</v>
      </c>
      <c r="C530" s="1">
        <v>36236</v>
      </c>
      <c r="D530" s="1">
        <v>435896982</v>
      </c>
    </row>
    <row r="531" spans="1:4" s="6" customFormat="1" x14ac:dyDescent="0.25">
      <c r="A531" s="6" t="str">
        <f>T("300439")</f>
        <v>300439</v>
      </c>
      <c r="B531" s="6" t="str">
        <f>T("AUTRES")</f>
        <v>AUTRES</v>
      </c>
      <c r="C531" s="1"/>
      <c r="D531" s="1"/>
    </row>
    <row r="532" spans="1:4" x14ac:dyDescent="0.25">
      <c r="B532" t="str">
        <f>T("   Togo")</f>
        <v xml:space="preserve">   Togo</v>
      </c>
      <c r="C532" s="2">
        <v>3500</v>
      </c>
      <c r="D532" s="2">
        <v>1146220</v>
      </c>
    </row>
    <row r="533" spans="1:4" s="6" customFormat="1" x14ac:dyDescent="0.25">
      <c r="B533" s="6" t="str">
        <f>T("   Total Monde")</f>
        <v xml:space="preserve">   Total Monde</v>
      </c>
      <c r="C533" s="1">
        <v>3500</v>
      </c>
      <c r="D533" s="1">
        <v>1146220</v>
      </c>
    </row>
    <row r="534" spans="1:4" s="6" customFormat="1" x14ac:dyDescent="0.25">
      <c r="A534" s="6" t="str">
        <f>T("300490")</f>
        <v>300490</v>
      </c>
      <c r="B534" s="6" t="str">
        <f>T("AUTRES")</f>
        <v>AUTRES</v>
      </c>
      <c r="C534" s="1"/>
      <c r="D534" s="1"/>
    </row>
    <row r="535" spans="1:4" x14ac:dyDescent="0.25">
      <c r="B535" t="str">
        <f>T("   Burkina Faso")</f>
        <v xml:space="preserve">   Burkina Faso</v>
      </c>
      <c r="C535" s="2">
        <v>270</v>
      </c>
      <c r="D535" s="2">
        <v>2760846</v>
      </c>
    </row>
    <row r="536" spans="1:4" x14ac:dyDescent="0.25">
      <c r="B536" t="str">
        <f>T("   Côte d'Ivoire")</f>
        <v xml:space="preserve">   Côte d'Ivoire</v>
      </c>
      <c r="C536" s="2">
        <v>86</v>
      </c>
      <c r="D536" s="2">
        <v>87796</v>
      </c>
    </row>
    <row r="537" spans="1:4" x14ac:dyDescent="0.25">
      <c r="B537" t="str">
        <f>T("   Cameroun")</f>
        <v xml:space="preserve">   Cameroun</v>
      </c>
      <c r="C537" s="2">
        <v>65</v>
      </c>
      <c r="D537" s="2">
        <v>85846</v>
      </c>
    </row>
    <row r="538" spans="1:4" x14ac:dyDescent="0.25">
      <c r="B538" t="str">
        <f>T("   Guinée")</f>
        <v xml:space="preserve">   Guinée</v>
      </c>
      <c r="C538" s="2">
        <v>20</v>
      </c>
      <c r="D538" s="2">
        <v>85846</v>
      </c>
    </row>
    <row r="539" spans="1:4" x14ac:dyDescent="0.25">
      <c r="B539" t="str">
        <f>T("   Kirghizistan")</f>
        <v xml:space="preserve">   Kirghizistan</v>
      </c>
      <c r="C539" s="2">
        <v>2000</v>
      </c>
      <c r="D539" s="2">
        <v>22793828</v>
      </c>
    </row>
    <row r="540" spans="1:4" x14ac:dyDescent="0.25">
      <c r="B540" t="str">
        <f>T("   Togo")</f>
        <v xml:space="preserve">   Togo</v>
      </c>
      <c r="C540" s="2">
        <v>13599</v>
      </c>
      <c r="D540" s="2">
        <v>225140400</v>
      </c>
    </row>
    <row r="541" spans="1:4" s="6" customFormat="1" x14ac:dyDescent="0.25">
      <c r="B541" s="6" t="str">
        <f>T("   Total Monde")</f>
        <v xml:space="preserve">   Total Monde</v>
      </c>
      <c r="C541" s="1">
        <v>16040</v>
      </c>
      <c r="D541" s="1">
        <v>250954562</v>
      </c>
    </row>
    <row r="542" spans="1:4" s="6" customFormat="1" x14ac:dyDescent="0.25">
      <c r="A542" s="6" t="str">
        <f>T("300590")</f>
        <v>300590</v>
      </c>
      <c r="B542" s="6" t="str">
        <f>T("AUTRES")</f>
        <v>AUTRES</v>
      </c>
      <c r="C542" s="1"/>
      <c r="D542" s="1"/>
    </row>
    <row r="543" spans="1:4" x14ac:dyDescent="0.25">
      <c r="B543" t="str">
        <f>T("   Niger")</f>
        <v xml:space="preserve">   Niger</v>
      </c>
      <c r="C543" s="2">
        <v>3100</v>
      </c>
      <c r="D543" s="2">
        <v>13800000</v>
      </c>
    </row>
    <row r="544" spans="1:4" x14ac:dyDescent="0.25">
      <c r="B544" t="str">
        <f>T("   Togo")</f>
        <v xml:space="preserve">   Togo</v>
      </c>
      <c r="C544" s="2">
        <v>737.5</v>
      </c>
      <c r="D544" s="2">
        <v>979000</v>
      </c>
    </row>
    <row r="545" spans="1:4" s="6" customFormat="1" x14ac:dyDescent="0.25">
      <c r="B545" s="6" t="str">
        <f>T("   Total Monde")</f>
        <v xml:space="preserve">   Total Monde</v>
      </c>
      <c r="C545" s="1">
        <v>3837.5</v>
      </c>
      <c r="D545" s="1">
        <v>14779000</v>
      </c>
    </row>
    <row r="546" spans="1:4" s="6" customFormat="1" x14ac:dyDescent="0.25">
      <c r="A546" s="6" t="str">
        <f>T("320290")</f>
        <v>320290</v>
      </c>
      <c r="B546" s="6" t="str">
        <f>T("AUTRES")</f>
        <v>AUTRES</v>
      </c>
      <c r="C546" s="1"/>
      <c r="D546" s="1"/>
    </row>
    <row r="547" spans="1:4" x14ac:dyDescent="0.25">
      <c r="B547" t="str">
        <f>T("   Madagascar")</f>
        <v xml:space="preserve">   Madagascar</v>
      </c>
      <c r="C547" s="2">
        <v>10000</v>
      </c>
      <c r="D547" s="2">
        <v>300000</v>
      </c>
    </row>
    <row r="548" spans="1:4" s="6" customFormat="1" x14ac:dyDescent="0.25">
      <c r="B548" s="6" t="str">
        <f>T("   Total Monde")</f>
        <v xml:space="preserve">   Total Monde</v>
      </c>
      <c r="C548" s="1">
        <v>10000</v>
      </c>
      <c r="D548" s="1">
        <v>300000</v>
      </c>
    </row>
    <row r="549" spans="1:4" s="6" customFormat="1" x14ac:dyDescent="0.25">
      <c r="A549" s="6" t="str">
        <f>T("320490")</f>
        <v>320490</v>
      </c>
      <c r="B549" s="6" t="str">
        <f>T("AUTRES")</f>
        <v>AUTRES</v>
      </c>
      <c r="C549" s="1"/>
      <c r="D549" s="1"/>
    </row>
    <row r="550" spans="1:4" x14ac:dyDescent="0.25">
      <c r="B550" t="str">
        <f>T("   Etats-Unis")</f>
        <v xml:space="preserve">   Etats-Unis</v>
      </c>
      <c r="C550" s="2">
        <v>50</v>
      </c>
      <c r="D550" s="2">
        <v>304420</v>
      </c>
    </row>
    <row r="551" spans="1:4" s="6" customFormat="1" x14ac:dyDescent="0.25">
      <c r="B551" s="6" t="str">
        <f>T("   Total Monde")</f>
        <v xml:space="preserve">   Total Monde</v>
      </c>
      <c r="C551" s="1">
        <v>50</v>
      </c>
      <c r="D551" s="1">
        <v>304420</v>
      </c>
    </row>
    <row r="552" spans="1:4" s="6" customFormat="1" x14ac:dyDescent="0.25">
      <c r="A552" s="6" t="str">
        <f>T("320820")</f>
        <v>320820</v>
      </c>
      <c r="B552" s="6" t="str">
        <f>T("A BASE DE POLYMERES ACRYLIQUES OU VINYLIQUES")</f>
        <v>A BASE DE POLYMERES ACRYLIQUES OU VINYLIQUES</v>
      </c>
      <c r="C552" s="1"/>
      <c r="D552" s="1"/>
    </row>
    <row r="553" spans="1:4" x14ac:dyDescent="0.25">
      <c r="B553" t="str">
        <f>T("   Togo")</f>
        <v xml:space="preserve">   Togo</v>
      </c>
      <c r="C553" s="2">
        <v>5510</v>
      </c>
      <c r="D553" s="2">
        <v>2992920</v>
      </c>
    </row>
    <row r="554" spans="1:4" s="6" customFormat="1" x14ac:dyDescent="0.25">
      <c r="B554" s="6" t="str">
        <f>T("   Total Monde")</f>
        <v xml:space="preserve">   Total Monde</v>
      </c>
      <c r="C554" s="1">
        <v>5510</v>
      </c>
      <c r="D554" s="1">
        <v>2992920</v>
      </c>
    </row>
    <row r="555" spans="1:4" s="6" customFormat="1" x14ac:dyDescent="0.25">
      <c r="A555" s="6" t="str">
        <f>T("320890")</f>
        <v>320890</v>
      </c>
      <c r="B555" s="6" t="str">
        <f>T("AUTRES")</f>
        <v>AUTRES</v>
      </c>
      <c r="C555" s="1"/>
      <c r="D555" s="1"/>
    </row>
    <row r="556" spans="1:4" x14ac:dyDescent="0.25">
      <c r="B556" t="str">
        <f>T("   Burkina Faso")</f>
        <v xml:space="preserve">   Burkina Faso</v>
      </c>
      <c r="C556" s="2">
        <v>4400</v>
      </c>
      <c r="D556" s="2">
        <v>6920000</v>
      </c>
    </row>
    <row r="557" spans="1:4" x14ac:dyDescent="0.25">
      <c r="B557" t="str">
        <f>T("   Mali")</f>
        <v xml:space="preserve">   Mali</v>
      </c>
      <c r="C557" s="2">
        <v>36000</v>
      </c>
      <c r="D557" s="2">
        <v>63600000</v>
      </c>
    </row>
    <row r="558" spans="1:4" x14ac:dyDescent="0.25">
      <c r="B558" t="str">
        <f>T("   Nigéria")</f>
        <v xml:space="preserve">   Nigéria</v>
      </c>
      <c r="C558" s="2">
        <v>19355.2</v>
      </c>
      <c r="D558" s="2">
        <v>26674934</v>
      </c>
    </row>
    <row r="559" spans="1:4" x14ac:dyDescent="0.25">
      <c r="B559" t="str">
        <f>T("   Tchad")</f>
        <v xml:space="preserve">   Tchad</v>
      </c>
      <c r="C559" s="2">
        <v>2750</v>
      </c>
      <c r="D559" s="2">
        <v>12551810</v>
      </c>
    </row>
    <row r="560" spans="1:4" x14ac:dyDescent="0.25">
      <c r="B560" t="str">
        <f>T("   Togo")</f>
        <v xml:space="preserve">   Togo</v>
      </c>
      <c r="C560" s="2">
        <v>384701</v>
      </c>
      <c r="D560" s="2">
        <v>242947539</v>
      </c>
    </row>
    <row r="561" spans="1:4" s="6" customFormat="1" x14ac:dyDescent="0.25">
      <c r="B561" s="6" t="str">
        <f>T("   Total Monde")</f>
        <v xml:space="preserve">   Total Monde</v>
      </c>
      <c r="C561" s="1">
        <v>447206.2</v>
      </c>
      <c r="D561" s="1">
        <v>352694283</v>
      </c>
    </row>
    <row r="562" spans="1:4" s="6" customFormat="1" x14ac:dyDescent="0.25">
      <c r="A562" s="6" t="str">
        <f>T("320910")</f>
        <v>320910</v>
      </c>
      <c r="B562" s="6" t="str">
        <f>T("A BASE DE POLYMERES ACRYLIQUES OU VINYLIQUES")</f>
        <v>A BASE DE POLYMERES ACRYLIQUES OU VINYLIQUES</v>
      </c>
      <c r="C562" s="1"/>
      <c r="D562" s="1"/>
    </row>
    <row r="563" spans="1:4" x14ac:dyDescent="0.25">
      <c r="B563" t="str">
        <f>T("   Togo")</f>
        <v xml:space="preserve">   Togo</v>
      </c>
      <c r="C563" s="2">
        <v>476101</v>
      </c>
      <c r="D563" s="2">
        <v>285421574</v>
      </c>
    </row>
    <row r="564" spans="1:4" s="6" customFormat="1" x14ac:dyDescent="0.25">
      <c r="B564" s="6" t="str">
        <f>T("   Total Monde")</f>
        <v xml:space="preserve">   Total Monde</v>
      </c>
      <c r="C564" s="1">
        <v>476101</v>
      </c>
      <c r="D564" s="1">
        <v>285421574</v>
      </c>
    </row>
    <row r="565" spans="1:4" s="6" customFormat="1" x14ac:dyDescent="0.25">
      <c r="A565" s="6" t="str">
        <f>T("320990")</f>
        <v>320990</v>
      </c>
      <c r="B565" s="6" t="str">
        <f>T("AUTRES")</f>
        <v>AUTRES</v>
      </c>
      <c r="C565" s="1"/>
      <c r="D565" s="1"/>
    </row>
    <row r="566" spans="1:4" x14ac:dyDescent="0.25">
      <c r="B566" t="str">
        <f>T("   Togo")</f>
        <v xml:space="preserve">   Togo</v>
      </c>
      <c r="C566" s="2">
        <v>298059</v>
      </c>
      <c r="D566" s="2">
        <v>133865122</v>
      </c>
    </row>
    <row r="567" spans="1:4" s="6" customFormat="1" x14ac:dyDescent="0.25">
      <c r="B567" s="6" t="str">
        <f>T("   Total Monde")</f>
        <v xml:space="preserve">   Total Monde</v>
      </c>
      <c r="C567" s="1">
        <v>298059</v>
      </c>
      <c r="D567" s="1">
        <v>133865122</v>
      </c>
    </row>
    <row r="568" spans="1:4" s="6" customFormat="1" x14ac:dyDescent="0.25">
      <c r="A568" s="6" t="str">
        <f>T("321000")</f>
        <v>321000</v>
      </c>
      <c r="B568" s="6" t="str">
        <f>T("AUTRES PEINTURES ET VERNIS; PIGMENTS A L'EAU PREPARES DES TYPES UTILISES POUR LE FINISS")</f>
        <v>AUTRES PEINTURES ET VERNIS; PIGMENTS A L'EAU PREPARES DES TYPES UTILISES POUR LE FINISS</v>
      </c>
      <c r="C568" s="1"/>
      <c r="D568" s="1"/>
    </row>
    <row r="569" spans="1:4" x14ac:dyDescent="0.25">
      <c r="B569" t="str">
        <f>T("   Niger")</f>
        <v xml:space="preserve">   Niger</v>
      </c>
      <c r="C569" s="2">
        <v>1250</v>
      </c>
      <c r="D569" s="2">
        <v>18055620</v>
      </c>
    </row>
    <row r="570" spans="1:4" s="6" customFormat="1" x14ac:dyDescent="0.25">
      <c r="B570" s="6" t="str">
        <f>T("   Total Monde")</f>
        <v xml:space="preserve">   Total Monde</v>
      </c>
      <c r="C570" s="1">
        <v>1250</v>
      </c>
      <c r="D570" s="1">
        <v>18055620</v>
      </c>
    </row>
    <row r="571" spans="1:4" s="6" customFormat="1" x14ac:dyDescent="0.25">
      <c r="A571" s="6" t="str">
        <f>T("330129")</f>
        <v>330129</v>
      </c>
      <c r="B571" s="6" t="str">
        <f>T("AUTRES")</f>
        <v>AUTRES</v>
      </c>
      <c r="C571" s="1"/>
      <c r="D571" s="1"/>
    </row>
    <row r="572" spans="1:4" x14ac:dyDescent="0.25">
      <c r="B572" t="str">
        <f>T("   Guinée Equatoriale")</f>
        <v xml:space="preserve">   Guinée Equatoriale</v>
      </c>
      <c r="C572" s="2">
        <v>500</v>
      </c>
      <c r="D572" s="2">
        <v>200000</v>
      </c>
    </row>
    <row r="573" spans="1:4" s="6" customFormat="1" x14ac:dyDescent="0.25">
      <c r="B573" s="6" t="str">
        <f>T("   Total Monde")</f>
        <v xml:space="preserve">   Total Monde</v>
      </c>
      <c r="C573" s="1">
        <v>500</v>
      </c>
      <c r="D573" s="1">
        <v>200000</v>
      </c>
    </row>
    <row r="574" spans="1:4" s="6" customFormat="1" x14ac:dyDescent="0.25">
      <c r="A574" s="6" t="str">
        <f>T("330210")</f>
        <v>330210</v>
      </c>
      <c r="B574" s="6" t="str">
        <f>T("DES TYPES UTILISES POUR LES INDUSTRIES ALIMENTAIRES OU DES BOISSONS")</f>
        <v>DES TYPES UTILISES POUR LES INDUSTRIES ALIMENTAIRES OU DES BOISSONS</v>
      </c>
      <c r="C574" s="1"/>
      <c r="D574" s="1"/>
    </row>
    <row r="575" spans="1:4" x14ac:dyDescent="0.25">
      <c r="B575" t="str">
        <f>T("   Togo")</f>
        <v xml:space="preserve">   Togo</v>
      </c>
      <c r="C575" s="2">
        <v>215</v>
      </c>
      <c r="D575" s="2">
        <v>3354250</v>
      </c>
    </row>
    <row r="576" spans="1:4" s="6" customFormat="1" x14ac:dyDescent="0.25">
      <c r="B576" s="6" t="str">
        <f>T("   Total Monde")</f>
        <v xml:space="preserve">   Total Monde</v>
      </c>
      <c r="C576" s="1">
        <v>215</v>
      </c>
      <c r="D576" s="1">
        <v>3354250</v>
      </c>
    </row>
    <row r="577" spans="1:4" s="6" customFormat="1" x14ac:dyDescent="0.25">
      <c r="A577" s="6" t="str">
        <f>T("330499")</f>
        <v>330499</v>
      </c>
      <c r="B577" s="6" t="str">
        <f>T("AUTRES")</f>
        <v>AUTRES</v>
      </c>
      <c r="C577" s="1"/>
      <c r="D577" s="1"/>
    </row>
    <row r="578" spans="1:4" x14ac:dyDescent="0.25">
      <c r="B578" t="str">
        <f>T("   Côte d'Ivoire")</f>
        <v xml:space="preserve">   Côte d'Ivoire</v>
      </c>
      <c r="C578" s="2">
        <v>1100</v>
      </c>
      <c r="D578" s="2">
        <v>1000000</v>
      </c>
    </row>
    <row r="579" spans="1:4" x14ac:dyDescent="0.25">
      <c r="B579" t="str">
        <f>T("   Gabon")</f>
        <v xml:space="preserve">   Gabon</v>
      </c>
      <c r="C579" s="2">
        <v>20405</v>
      </c>
      <c r="D579" s="2">
        <v>6787000</v>
      </c>
    </row>
    <row r="580" spans="1:4" x14ac:dyDescent="0.25">
      <c r="B580" t="str">
        <f>T("   Guinée Equatoriale")</f>
        <v xml:space="preserve">   Guinée Equatoriale</v>
      </c>
      <c r="C580" s="2">
        <v>300</v>
      </c>
      <c r="D580" s="2">
        <v>300000</v>
      </c>
    </row>
    <row r="581" spans="1:4" x14ac:dyDescent="0.25">
      <c r="B581" t="str">
        <f>T("   Tchad")</f>
        <v xml:space="preserve">   Tchad</v>
      </c>
      <c r="C581" s="2">
        <v>21500</v>
      </c>
      <c r="D581" s="2">
        <v>8395000</v>
      </c>
    </row>
    <row r="582" spans="1:4" s="6" customFormat="1" x14ac:dyDescent="0.25">
      <c r="B582" s="6" t="str">
        <f>T("   Total Monde")</f>
        <v xml:space="preserve">   Total Monde</v>
      </c>
      <c r="C582" s="1">
        <v>43305</v>
      </c>
      <c r="D582" s="1">
        <v>16482000</v>
      </c>
    </row>
    <row r="583" spans="1:4" s="6" customFormat="1" x14ac:dyDescent="0.25">
      <c r="A583" s="6" t="str">
        <f>T("330790")</f>
        <v>330790</v>
      </c>
      <c r="B583" s="6" t="str">
        <f>T("AUTRES")</f>
        <v>AUTRES</v>
      </c>
      <c r="C583" s="1"/>
      <c r="D583" s="1"/>
    </row>
    <row r="584" spans="1:4" x14ac:dyDescent="0.25">
      <c r="B584" t="str">
        <f>T("   Australie")</f>
        <v xml:space="preserve">   Australie</v>
      </c>
      <c r="C584" s="2">
        <v>838</v>
      </c>
      <c r="D584" s="2">
        <v>2647313</v>
      </c>
    </row>
    <row r="585" spans="1:4" s="6" customFormat="1" x14ac:dyDescent="0.25">
      <c r="B585" s="6" t="str">
        <f>T("   Total Monde")</f>
        <v xml:space="preserve">   Total Monde</v>
      </c>
      <c r="C585" s="1">
        <v>838</v>
      </c>
      <c r="D585" s="1">
        <v>2647313</v>
      </c>
    </row>
    <row r="586" spans="1:4" s="6" customFormat="1" x14ac:dyDescent="0.25">
      <c r="A586" s="6" t="str">
        <f>T("340111")</f>
        <v>340111</v>
      </c>
      <c r="B586" s="6" t="str">
        <f>T("DE TOILETTE (Y COMPRIS CEUX A USAGES MEDICAUX)")</f>
        <v>DE TOILETTE (Y COMPRIS CEUX A USAGES MEDICAUX)</v>
      </c>
      <c r="C586" s="1"/>
      <c r="D586" s="1"/>
    </row>
    <row r="587" spans="1:4" x14ac:dyDescent="0.25">
      <c r="B587" t="str">
        <f>T("   Etats-Unis")</f>
        <v xml:space="preserve">   Etats-Unis</v>
      </c>
      <c r="C587" s="2">
        <v>26830.45</v>
      </c>
      <c r="D587" s="2">
        <v>33232422</v>
      </c>
    </row>
    <row r="588" spans="1:4" s="6" customFormat="1" x14ac:dyDescent="0.25">
      <c r="B588" s="6" t="str">
        <f>T("   Total Monde")</f>
        <v xml:space="preserve">   Total Monde</v>
      </c>
      <c r="C588" s="1">
        <v>26830.45</v>
      </c>
      <c r="D588" s="1">
        <v>33232422</v>
      </c>
    </row>
    <row r="589" spans="1:4" s="6" customFormat="1" x14ac:dyDescent="0.25">
      <c r="A589" s="6" t="str">
        <f>T("340119")</f>
        <v>340119</v>
      </c>
      <c r="B589" s="6" t="str">
        <f>T("AUTRES")</f>
        <v>AUTRES</v>
      </c>
      <c r="C589" s="1"/>
      <c r="D589" s="1"/>
    </row>
    <row r="590" spans="1:4" x14ac:dyDescent="0.25">
      <c r="B590" t="str">
        <f>T("   Congo, République Démocratique")</f>
        <v xml:space="preserve">   Congo, République Démocratique</v>
      </c>
      <c r="C590" s="2">
        <v>23800</v>
      </c>
      <c r="D590" s="2">
        <v>17280000</v>
      </c>
    </row>
    <row r="591" spans="1:4" s="6" customFormat="1" x14ac:dyDescent="0.25">
      <c r="B591" s="6" t="str">
        <f>T("   Total Monde")</f>
        <v xml:space="preserve">   Total Monde</v>
      </c>
      <c r="C591" s="1">
        <v>23800</v>
      </c>
      <c r="D591" s="1">
        <v>17280000</v>
      </c>
    </row>
    <row r="592" spans="1:4" s="6" customFormat="1" x14ac:dyDescent="0.25">
      <c r="A592" s="6" t="str">
        <f>T("340220")</f>
        <v>340220</v>
      </c>
      <c r="B592" s="6" t="str">
        <f>T("PREPARATIONS CONDITIONNEES POUR LA VENTE AU DETAIL")</f>
        <v>PREPARATIONS CONDITIONNEES POUR LA VENTE AU DETAIL</v>
      </c>
      <c r="C592" s="1"/>
      <c r="D592" s="1"/>
    </row>
    <row r="593" spans="1:4" x14ac:dyDescent="0.25">
      <c r="B593" t="str">
        <f>T("   Pays-bas")</f>
        <v xml:space="preserve">   Pays-bas</v>
      </c>
      <c r="C593" s="2">
        <v>5796</v>
      </c>
      <c r="D593" s="2">
        <v>41248692</v>
      </c>
    </row>
    <row r="594" spans="1:4" s="6" customFormat="1" x14ac:dyDescent="0.25">
      <c r="B594" s="6" t="str">
        <f>T("   Total Monde")</f>
        <v xml:space="preserve">   Total Monde</v>
      </c>
      <c r="C594" s="1">
        <v>5796</v>
      </c>
      <c r="D594" s="1">
        <v>41248692</v>
      </c>
    </row>
    <row r="595" spans="1:4" s="6" customFormat="1" x14ac:dyDescent="0.25">
      <c r="A595" s="6" t="str">
        <f>T("340290")</f>
        <v>340290</v>
      </c>
      <c r="B595" s="6" t="str">
        <f>T("AUTRES")</f>
        <v>AUTRES</v>
      </c>
      <c r="C595" s="1"/>
      <c r="D595" s="1"/>
    </row>
    <row r="596" spans="1:4" x14ac:dyDescent="0.25">
      <c r="B596" t="str">
        <f>T("   Turquie")</f>
        <v xml:space="preserve">   Turquie</v>
      </c>
      <c r="C596" s="2">
        <v>33034</v>
      </c>
      <c r="D596" s="2">
        <v>255617381</v>
      </c>
    </row>
    <row r="597" spans="1:4" x14ac:dyDescent="0.25">
      <c r="B597" t="str">
        <f>T("   Etats-Unis")</f>
        <v xml:space="preserve">   Etats-Unis</v>
      </c>
      <c r="C597" s="2">
        <v>79</v>
      </c>
      <c r="D597" s="2">
        <v>475192</v>
      </c>
    </row>
    <row r="598" spans="1:4" s="6" customFormat="1" x14ac:dyDescent="0.25">
      <c r="B598" s="6" t="str">
        <f>T("   Total Monde")</f>
        <v xml:space="preserve">   Total Monde</v>
      </c>
      <c r="C598" s="1">
        <v>33113</v>
      </c>
      <c r="D598" s="1">
        <v>256092573</v>
      </c>
    </row>
    <row r="599" spans="1:4" s="6" customFormat="1" x14ac:dyDescent="0.25">
      <c r="A599" s="6" t="str">
        <f>T("350510")</f>
        <v>350510</v>
      </c>
      <c r="B599" s="6" t="str">
        <f>T("Dextrine et autres amidons et fecules modifies")</f>
        <v>Dextrine et autres amidons et fecules modifies</v>
      </c>
      <c r="C599" s="1"/>
      <c r="D599" s="1"/>
    </row>
    <row r="600" spans="1:4" x14ac:dyDescent="0.25">
      <c r="B600" t="str">
        <f>T("   Côte d'Ivoire")</f>
        <v xml:space="preserve">   Côte d'Ivoire</v>
      </c>
      <c r="C600" s="2">
        <v>103670.77</v>
      </c>
      <c r="D600" s="2">
        <v>88243409</v>
      </c>
    </row>
    <row r="601" spans="1:4" x14ac:dyDescent="0.25">
      <c r="B601" t="str">
        <f>T("   Ghana")</f>
        <v xml:space="preserve">   Ghana</v>
      </c>
      <c r="C601" s="2">
        <v>28167.13</v>
      </c>
      <c r="D601" s="2">
        <v>20834834</v>
      </c>
    </row>
    <row r="602" spans="1:4" x14ac:dyDescent="0.25">
      <c r="B602" t="str">
        <f>T("   Nigéria")</f>
        <v xml:space="preserve">   Nigéria</v>
      </c>
      <c r="C602" s="2">
        <v>3041</v>
      </c>
      <c r="D602" s="2">
        <v>2273274</v>
      </c>
    </row>
    <row r="603" spans="1:4" s="6" customFormat="1" x14ac:dyDescent="0.25">
      <c r="B603" s="6" t="str">
        <f>T("   Total Monde")</f>
        <v xml:space="preserve">   Total Monde</v>
      </c>
      <c r="C603" s="1">
        <v>134878.9</v>
      </c>
      <c r="D603" s="1">
        <v>111351517</v>
      </c>
    </row>
    <row r="604" spans="1:4" s="6" customFormat="1" x14ac:dyDescent="0.25">
      <c r="A604" s="6" t="str">
        <f>T("350691")</f>
        <v>350691</v>
      </c>
      <c r="B604" s="6" t="str">
        <f>T("ADHESIFS A BASE DE POLYMERES DES N°S 39.01 A 39.13 OU DE CAOUTCHOUC")</f>
        <v>ADHESIFS A BASE DE POLYMERES DES N°S 39.01 A 39.13 OU DE CAOUTCHOUC</v>
      </c>
      <c r="C604" s="1"/>
      <c r="D604" s="1"/>
    </row>
    <row r="605" spans="1:4" x14ac:dyDescent="0.25">
      <c r="B605" t="str">
        <f>T("   Gabon")</f>
        <v xml:space="preserve">   Gabon</v>
      </c>
      <c r="C605" s="2">
        <v>1485</v>
      </c>
      <c r="D605" s="2">
        <v>12531544</v>
      </c>
    </row>
    <row r="606" spans="1:4" s="6" customFormat="1" x14ac:dyDescent="0.25">
      <c r="B606" s="6" t="str">
        <f>T("   Total Monde")</f>
        <v xml:space="preserve">   Total Monde</v>
      </c>
      <c r="C606" s="1">
        <v>1485</v>
      </c>
      <c r="D606" s="1">
        <v>12531544</v>
      </c>
    </row>
    <row r="607" spans="1:4" s="6" customFormat="1" x14ac:dyDescent="0.25">
      <c r="A607" s="6" t="str">
        <f>T("350790")</f>
        <v>350790</v>
      </c>
      <c r="B607" s="6" t="str">
        <f>T("AUTRES")</f>
        <v>AUTRES</v>
      </c>
      <c r="C607" s="1"/>
      <c r="D607" s="1"/>
    </row>
    <row r="608" spans="1:4" x14ac:dyDescent="0.25">
      <c r="B608" t="str">
        <f>T("   Togo")</f>
        <v xml:space="preserve">   Togo</v>
      </c>
      <c r="C608" s="2">
        <v>230</v>
      </c>
      <c r="D608" s="2">
        <v>3321950</v>
      </c>
    </row>
    <row r="609" spans="1:4" s="6" customFormat="1" x14ac:dyDescent="0.25">
      <c r="B609" s="6" t="str">
        <f>T("   Total Monde")</f>
        <v xml:space="preserve">   Total Monde</v>
      </c>
      <c r="C609" s="1">
        <v>230</v>
      </c>
      <c r="D609" s="1">
        <v>3321950</v>
      </c>
    </row>
    <row r="610" spans="1:4" s="6" customFormat="1" x14ac:dyDescent="0.25">
      <c r="A610" s="6" t="str">
        <f>T("360200")</f>
        <v>360200</v>
      </c>
      <c r="B610" s="6" t="str">
        <f>T("EXPLOSIFS PREPARES, AUTRES QUE LES POUDRES PROPULSIVES.")</f>
        <v>EXPLOSIFS PREPARES, AUTRES QUE LES POUDRES PROPULSIVES.</v>
      </c>
      <c r="C610" s="1"/>
      <c r="D610" s="1"/>
    </row>
    <row r="611" spans="1:4" x14ac:dyDescent="0.25">
      <c r="B611" t="str">
        <f>T("   Gabon")</f>
        <v xml:space="preserve">   Gabon</v>
      </c>
      <c r="C611" s="2">
        <v>168</v>
      </c>
      <c r="D611" s="2">
        <v>2140455</v>
      </c>
    </row>
    <row r="612" spans="1:4" x14ac:dyDescent="0.25">
      <c r="B612" t="str">
        <f>T("   Ghana")</f>
        <v xml:space="preserve">   Ghana</v>
      </c>
      <c r="C612" s="2">
        <v>2484</v>
      </c>
      <c r="D612" s="2">
        <v>3641794</v>
      </c>
    </row>
    <row r="613" spans="1:4" s="6" customFormat="1" x14ac:dyDescent="0.25">
      <c r="B613" s="6" t="str">
        <f>T("   Total Monde")</f>
        <v xml:space="preserve">   Total Monde</v>
      </c>
      <c r="C613" s="1">
        <v>2652</v>
      </c>
      <c r="D613" s="1">
        <v>5782249</v>
      </c>
    </row>
    <row r="614" spans="1:4" s="6" customFormat="1" x14ac:dyDescent="0.25">
      <c r="A614" s="6" t="str">
        <f>T("360300")</f>
        <v>360300</v>
      </c>
      <c r="B614" s="6" t="str">
        <f>T("MECHES DE SURETE; CORDEAUX DETONANTS; AMORCES ET CAPSULES FULMINANTES; ALLUMEURS; DETON")</f>
        <v>MECHES DE SURETE; CORDEAUX DETONANTS; AMORCES ET CAPSULES FULMINANTES; ALLUMEURS; DETON</v>
      </c>
      <c r="C614" s="1"/>
      <c r="D614" s="1"/>
    </row>
    <row r="615" spans="1:4" x14ac:dyDescent="0.25">
      <c r="B615" t="str">
        <f>T("   Gabon")</f>
        <v xml:space="preserve">   Gabon</v>
      </c>
      <c r="C615" s="2">
        <v>419</v>
      </c>
      <c r="D615" s="2">
        <v>4906267</v>
      </c>
    </row>
    <row r="616" spans="1:4" x14ac:dyDescent="0.25">
      <c r="B616" t="str">
        <f>T("   Ghana")</f>
        <v xml:space="preserve">   Ghana</v>
      </c>
      <c r="C616" s="2">
        <v>3100</v>
      </c>
      <c r="D616" s="2">
        <v>34773056</v>
      </c>
    </row>
    <row r="617" spans="1:4" s="6" customFormat="1" x14ac:dyDescent="0.25">
      <c r="B617" s="6" t="str">
        <f>T("   Total Monde")</f>
        <v xml:space="preserve">   Total Monde</v>
      </c>
      <c r="C617" s="1">
        <v>3519</v>
      </c>
      <c r="D617" s="1">
        <v>39679323</v>
      </c>
    </row>
    <row r="618" spans="1:4" s="6" customFormat="1" x14ac:dyDescent="0.25">
      <c r="A618" s="6" t="str">
        <f>T("370390")</f>
        <v>370390</v>
      </c>
      <c r="B618" s="6" t="str">
        <f>T("AUTRES")</f>
        <v>AUTRES</v>
      </c>
      <c r="C618" s="1"/>
      <c r="D618" s="1"/>
    </row>
    <row r="619" spans="1:4" x14ac:dyDescent="0.25">
      <c r="B619" t="str">
        <f>T("   Côte d'Ivoire")</f>
        <v xml:space="preserve">   Côte d'Ivoire</v>
      </c>
      <c r="C619" s="2">
        <v>8470</v>
      </c>
      <c r="D619" s="2">
        <v>2912500</v>
      </c>
    </row>
    <row r="620" spans="1:4" x14ac:dyDescent="0.25">
      <c r="B620" t="str">
        <f>T("   Cameroun")</f>
        <v xml:space="preserve">   Cameroun</v>
      </c>
      <c r="C620" s="2">
        <v>10952</v>
      </c>
      <c r="D620" s="2">
        <v>2912500</v>
      </c>
    </row>
    <row r="621" spans="1:4" s="6" customFormat="1" x14ac:dyDescent="0.25">
      <c r="B621" s="6" t="str">
        <f>T("   Total Monde")</f>
        <v xml:space="preserve">   Total Monde</v>
      </c>
      <c r="C621" s="1">
        <v>19422</v>
      </c>
      <c r="D621" s="1">
        <v>5825000</v>
      </c>
    </row>
    <row r="622" spans="1:4" s="6" customFormat="1" x14ac:dyDescent="0.25">
      <c r="A622" s="6" t="str">
        <f>T("380400")</f>
        <v>380400</v>
      </c>
      <c r="B622" s="6" t="str">
        <f>T("LESSIVES RESIDUAIRES DE LA FABRICATION DES PATES DE CELLULOSE, MEME CONCENTREES, DESUCR")</f>
        <v>LESSIVES RESIDUAIRES DE LA FABRICATION DES PATES DE CELLULOSE, MEME CONCENTREES, DESUCR</v>
      </c>
      <c r="C622" s="1"/>
      <c r="D622" s="1"/>
    </row>
    <row r="623" spans="1:4" x14ac:dyDescent="0.25">
      <c r="B623" t="str">
        <f>T("   Gabon")</f>
        <v xml:space="preserve">   Gabon</v>
      </c>
      <c r="C623" s="2">
        <v>7035</v>
      </c>
      <c r="D623" s="2">
        <v>25989673</v>
      </c>
    </row>
    <row r="624" spans="1:4" s="6" customFormat="1" x14ac:dyDescent="0.25">
      <c r="B624" s="6" t="str">
        <f>T("   Total Monde")</f>
        <v xml:space="preserve">   Total Monde</v>
      </c>
      <c r="C624" s="1">
        <v>7035</v>
      </c>
      <c r="D624" s="1">
        <v>25989673</v>
      </c>
    </row>
    <row r="625" spans="1:4" s="6" customFormat="1" x14ac:dyDescent="0.25">
      <c r="A625" s="6" t="str">
        <f>T("380850")</f>
        <v>380850</v>
      </c>
      <c r="B625" s="6" t="str">
        <f>T("MARCHANDISES MENTIONNEES DANS LA NOTE 1 DE SOUSPOSITIONS DU PRESENT CHAPITRE")</f>
        <v>MARCHANDISES MENTIONNEES DANS LA NOTE 1 DE SOUSPOSITIONS DU PRESENT CHAPITRE</v>
      </c>
      <c r="C625" s="1"/>
      <c r="D625" s="1"/>
    </row>
    <row r="626" spans="1:4" x14ac:dyDescent="0.25">
      <c r="B626" t="str">
        <f>T("   Togo")</f>
        <v xml:space="preserve">   Togo</v>
      </c>
      <c r="C626" s="2">
        <v>30000</v>
      </c>
      <c r="D626" s="2">
        <v>7000000</v>
      </c>
    </row>
    <row r="627" spans="1:4" s="6" customFormat="1" x14ac:dyDescent="0.25">
      <c r="B627" s="6" t="str">
        <f>T("   Total Monde")</f>
        <v xml:space="preserve">   Total Monde</v>
      </c>
      <c r="C627" s="1">
        <v>30000</v>
      </c>
      <c r="D627" s="1">
        <v>7000000</v>
      </c>
    </row>
    <row r="628" spans="1:4" s="6" customFormat="1" x14ac:dyDescent="0.25">
      <c r="A628" s="6" t="str">
        <f>T("380891")</f>
        <v>380891</v>
      </c>
      <c r="B628" s="6" t="str">
        <f>T("INSECTICIDES")</f>
        <v>INSECTICIDES</v>
      </c>
      <c r="C628" s="1"/>
      <c r="D628" s="1"/>
    </row>
    <row r="629" spans="1:4" x14ac:dyDescent="0.25">
      <c r="B629" t="str">
        <f>T("   France")</f>
        <v xml:space="preserve">   France</v>
      </c>
      <c r="C629" s="2">
        <v>172195</v>
      </c>
      <c r="D629" s="2">
        <v>852748</v>
      </c>
    </row>
    <row r="630" spans="1:4" x14ac:dyDescent="0.25">
      <c r="B630" t="str">
        <f>T("   Suède")</f>
        <v xml:space="preserve">   Suède</v>
      </c>
      <c r="C630" s="2">
        <v>280116</v>
      </c>
      <c r="D630" s="2">
        <v>983940</v>
      </c>
    </row>
    <row r="631" spans="1:4" s="6" customFormat="1" x14ac:dyDescent="0.25">
      <c r="B631" s="6" t="str">
        <f>T("   Total Monde")</f>
        <v xml:space="preserve">   Total Monde</v>
      </c>
      <c r="C631" s="1">
        <v>452311</v>
      </c>
      <c r="D631" s="1">
        <v>1836688</v>
      </c>
    </row>
    <row r="632" spans="1:4" s="6" customFormat="1" x14ac:dyDescent="0.25">
      <c r="A632" s="6" t="str">
        <f>T("381600")</f>
        <v>381600</v>
      </c>
      <c r="B632" s="6" t="str">
        <f>T("CIMENTS, MORTIERS, BETONS ET COMPOSITIONS SIMILAIRES REFRACTAIRES, AUTRES QUE LES PRODU")</f>
        <v>CIMENTS, MORTIERS, BETONS ET COMPOSITIONS SIMILAIRES REFRACTAIRES, AUTRES QUE LES PRODU</v>
      </c>
      <c r="C632" s="1"/>
      <c r="D632" s="1"/>
    </row>
    <row r="633" spans="1:4" x14ac:dyDescent="0.25">
      <c r="B633" t="str">
        <f>T("   Nigéria")</f>
        <v xml:space="preserve">   Nigéria</v>
      </c>
      <c r="C633" s="2">
        <v>1200000</v>
      </c>
      <c r="D633" s="2">
        <v>87169880</v>
      </c>
    </row>
    <row r="634" spans="1:4" s="6" customFormat="1" x14ac:dyDescent="0.25">
      <c r="B634" s="6" t="str">
        <f>T("   Total Monde")</f>
        <v xml:space="preserve">   Total Monde</v>
      </c>
      <c r="C634" s="1">
        <v>1200000</v>
      </c>
      <c r="D634" s="1">
        <v>87169880</v>
      </c>
    </row>
    <row r="635" spans="1:4" s="6" customFormat="1" x14ac:dyDescent="0.25">
      <c r="A635" s="6" t="str">
        <f>T("382440")</f>
        <v>382440</v>
      </c>
      <c r="B635" s="6" t="str">
        <f>T("ADDITIFS PREPARES POUR CIMENTS, MORTIERS OU BETONS")</f>
        <v>ADDITIFS PREPARES POUR CIMENTS, MORTIERS OU BETONS</v>
      </c>
      <c r="C635" s="1"/>
      <c r="D635" s="1"/>
    </row>
    <row r="636" spans="1:4" x14ac:dyDescent="0.25">
      <c r="B636" t="str">
        <f>T("   Ghana")</f>
        <v xml:space="preserve">   Ghana</v>
      </c>
      <c r="C636" s="2">
        <v>114580</v>
      </c>
      <c r="D636" s="2">
        <v>258911397</v>
      </c>
    </row>
    <row r="637" spans="1:4" x14ac:dyDescent="0.25">
      <c r="B637" t="str">
        <f>T("   Togo")</f>
        <v xml:space="preserve">   Togo</v>
      </c>
      <c r="C637" s="2">
        <v>47542</v>
      </c>
      <c r="D637" s="2">
        <v>29841877</v>
      </c>
    </row>
    <row r="638" spans="1:4" s="6" customFormat="1" x14ac:dyDescent="0.25">
      <c r="B638" s="6" t="str">
        <f>T("   Total Monde")</f>
        <v xml:space="preserve">   Total Monde</v>
      </c>
      <c r="C638" s="1">
        <v>162122</v>
      </c>
      <c r="D638" s="1">
        <v>288753274</v>
      </c>
    </row>
    <row r="639" spans="1:4" s="6" customFormat="1" x14ac:dyDescent="0.25">
      <c r="A639" s="6" t="str">
        <f>T("382490")</f>
        <v>382490</v>
      </c>
      <c r="B639" s="6" t="str">
        <f>T("AUTRES")</f>
        <v>AUTRES</v>
      </c>
      <c r="C639" s="1"/>
      <c r="D639" s="1"/>
    </row>
    <row r="640" spans="1:4" x14ac:dyDescent="0.25">
      <c r="B640" t="str">
        <f>T("   Gabon")</f>
        <v xml:space="preserve">   Gabon</v>
      </c>
      <c r="C640" s="2">
        <v>72558</v>
      </c>
      <c r="D640" s="2">
        <v>278152761</v>
      </c>
    </row>
    <row r="641" spans="1:4" s="6" customFormat="1" x14ac:dyDescent="0.25">
      <c r="B641" s="6" t="str">
        <f>T("   Total Monde")</f>
        <v xml:space="preserve">   Total Monde</v>
      </c>
      <c r="C641" s="1">
        <v>72558</v>
      </c>
      <c r="D641" s="1">
        <v>278152761</v>
      </c>
    </row>
    <row r="642" spans="1:4" s="6" customFormat="1" x14ac:dyDescent="0.25">
      <c r="A642" s="6" t="str">
        <f>T("390710")</f>
        <v>390710</v>
      </c>
      <c r="B642" s="6" t="str">
        <f>T("POLYACETALS")</f>
        <v>POLYACETALS</v>
      </c>
      <c r="C642" s="1"/>
      <c r="D642" s="1"/>
    </row>
    <row r="643" spans="1:4" x14ac:dyDescent="0.25">
      <c r="B643" t="str">
        <f>T("   Canada")</f>
        <v xml:space="preserve">   Canada</v>
      </c>
      <c r="C643" s="2">
        <v>152</v>
      </c>
      <c r="D643" s="2">
        <v>14002406</v>
      </c>
    </row>
    <row r="644" spans="1:4" s="6" customFormat="1" x14ac:dyDescent="0.25">
      <c r="B644" s="6" t="str">
        <f>T("   Total Monde")</f>
        <v xml:space="preserve">   Total Monde</v>
      </c>
      <c r="C644" s="1">
        <v>152</v>
      </c>
      <c r="D644" s="1">
        <v>14002406</v>
      </c>
    </row>
    <row r="645" spans="1:4" s="6" customFormat="1" x14ac:dyDescent="0.25">
      <c r="A645" s="6" t="str">
        <f>T("390720")</f>
        <v>390720</v>
      </c>
      <c r="B645" s="6" t="str">
        <f>T("AUTRES POLYETHERS")</f>
        <v>AUTRES POLYETHERS</v>
      </c>
      <c r="C645" s="1"/>
      <c r="D645" s="1"/>
    </row>
    <row r="646" spans="1:4" x14ac:dyDescent="0.25">
      <c r="B646" t="str">
        <f>T("   Gabon")</f>
        <v xml:space="preserve">   Gabon</v>
      </c>
      <c r="C646" s="2">
        <v>8167</v>
      </c>
      <c r="D646" s="2">
        <v>30171502</v>
      </c>
    </row>
    <row r="647" spans="1:4" s="6" customFormat="1" x14ac:dyDescent="0.25">
      <c r="B647" s="6" t="str">
        <f>T("   Total Monde")</f>
        <v xml:space="preserve">   Total Monde</v>
      </c>
      <c r="C647" s="1">
        <v>8167</v>
      </c>
      <c r="D647" s="1">
        <v>30171502</v>
      </c>
    </row>
    <row r="648" spans="1:4" s="6" customFormat="1" x14ac:dyDescent="0.25">
      <c r="A648" s="6" t="str">
        <f>T("391590")</f>
        <v>391590</v>
      </c>
      <c r="B648" s="6" t="str">
        <f>T("D'AUTRES MATIERES PLASTIQUES")</f>
        <v>D'AUTRES MATIERES PLASTIQUES</v>
      </c>
      <c r="C648" s="1"/>
      <c r="D648" s="1"/>
    </row>
    <row r="649" spans="1:4" x14ac:dyDescent="0.25">
      <c r="B649" t="str">
        <f>T("   Ghana")</f>
        <v xml:space="preserve">   Ghana</v>
      </c>
      <c r="C649" s="2">
        <v>25000</v>
      </c>
      <c r="D649" s="2">
        <v>625000</v>
      </c>
    </row>
    <row r="650" spans="1:4" x14ac:dyDescent="0.25">
      <c r="B650" t="str">
        <f>T("   Togo")</f>
        <v xml:space="preserve">   Togo</v>
      </c>
      <c r="C650" s="2">
        <v>515500</v>
      </c>
      <c r="D650" s="2">
        <v>12637500</v>
      </c>
    </row>
    <row r="651" spans="1:4" s="6" customFormat="1" x14ac:dyDescent="0.25">
      <c r="B651" s="6" t="str">
        <f>T("   Total Monde")</f>
        <v xml:space="preserve">   Total Monde</v>
      </c>
      <c r="C651" s="1">
        <v>540500</v>
      </c>
      <c r="D651" s="1">
        <v>13262500</v>
      </c>
    </row>
    <row r="652" spans="1:4" s="6" customFormat="1" x14ac:dyDescent="0.25">
      <c r="A652" s="6" t="str">
        <f>T("391721")</f>
        <v>391721</v>
      </c>
      <c r="B652" s="6" t="str">
        <f>T("EN POLYMERES DE L'ETHYLENE")</f>
        <v>EN POLYMERES DE L'ETHYLENE</v>
      </c>
      <c r="C652" s="1"/>
      <c r="D652" s="1"/>
    </row>
    <row r="653" spans="1:4" x14ac:dyDescent="0.25">
      <c r="B653" t="str">
        <f>T("   Niger")</f>
        <v xml:space="preserve">   Niger</v>
      </c>
      <c r="C653" s="2">
        <v>10985</v>
      </c>
      <c r="D653" s="2">
        <v>13140617</v>
      </c>
    </row>
    <row r="654" spans="1:4" x14ac:dyDescent="0.25">
      <c r="B654" t="str">
        <f>T("   Nigéria")</f>
        <v xml:space="preserve">   Nigéria</v>
      </c>
      <c r="C654" s="2">
        <v>29400</v>
      </c>
      <c r="D654" s="2">
        <v>55344500</v>
      </c>
    </row>
    <row r="655" spans="1:4" x14ac:dyDescent="0.25">
      <c r="B655" t="str">
        <f>T("   Tchad")</f>
        <v xml:space="preserve">   Tchad</v>
      </c>
      <c r="C655" s="2">
        <v>49095</v>
      </c>
      <c r="D655" s="2">
        <v>101596330</v>
      </c>
    </row>
    <row r="656" spans="1:4" x14ac:dyDescent="0.25">
      <c r="B656" t="str">
        <f>T("   Togo")</f>
        <v xml:space="preserve">   Togo</v>
      </c>
      <c r="C656" s="2">
        <v>8320</v>
      </c>
      <c r="D656" s="2">
        <v>9431900</v>
      </c>
    </row>
    <row r="657" spans="1:4" x14ac:dyDescent="0.25">
      <c r="B657" t="str">
        <f>T("   Etats-Unis")</f>
        <v xml:space="preserve">   Etats-Unis</v>
      </c>
      <c r="C657" s="2">
        <v>29</v>
      </c>
      <c r="D657" s="2">
        <v>247454</v>
      </c>
    </row>
    <row r="658" spans="1:4" s="6" customFormat="1" x14ac:dyDescent="0.25">
      <c r="B658" s="6" t="str">
        <f>T("   Total Monde")</f>
        <v xml:space="preserve">   Total Monde</v>
      </c>
      <c r="C658" s="1">
        <v>97829</v>
      </c>
      <c r="D658" s="1">
        <v>179760801</v>
      </c>
    </row>
    <row r="659" spans="1:4" s="6" customFormat="1" x14ac:dyDescent="0.25">
      <c r="A659" s="6" t="str">
        <f>T("391723")</f>
        <v>391723</v>
      </c>
      <c r="B659" s="6" t="str">
        <f>T("EN POLYMERES DU CHLORURE DE VINYLE")</f>
        <v>EN POLYMERES DU CHLORURE DE VINYLE</v>
      </c>
      <c r="C659" s="1"/>
      <c r="D659" s="1"/>
    </row>
    <row r="660" spans="1:4" x14ac:dyDescent="0.25">
      <c r="B660" t="str">
        <f>T("   Niger")</f>
        <v xml:space="preserve">   Niger</v>
      </c>
      <c r="C660" s="2">
        <v>190005</v>
      </c>
      <c r="D660" s="2">
        <v>50256650</v>
      </c>
    </row>
    <row r="661" spans="1:4" x14ac:dyDescent="0.25">
      <c r="B661" t="str">
        <f>T("   Tchad")</f>
        <v xml:space="preserve">   Tchad</v>
      </c>
      <c r="C661" s="2">
        <v>31420</v>
      </c>
      <c r="D661" s="2">
        <v>355313200</v>
      </c>
    </row>
    <row r="662" spans="1:4" x14ac:dyDescent="0.25">
      <c r="B662" t="str">
        <f>T("   Togo")</f>
        <v xml:space="preserve">   Togo</v>
      </c>
      <c r="C662" s="2">
        <v>102751</v>
      </c>
      <c r="D662" s="2">
        <v>81547190</v>
      </c>
    </row>
    <row r="663" spans="1:4" s="6" customFormat="1" x14ac:dyDescent="0.25">
      <c r="B663" s="6" t="str">
        <f>T("   Total Monde")</f>
        <v xml:space="preserve">   Total Monde</v>
      </c>
      <c r="C663" s="1">
        <v>324176</v>
      </c>
      <c r="D663" s="1">
        <v>487117040</v>
      </c>
    </row>
    <row r="664" spans="1:4" s="6" customFormat="1" x14ac:dyDescent="0.25">
      <c r="A664" s="6" t="str">
        <f>T("391729")</f>
        <v>391729</v>
      </c>
      <c r="B664" s="6" t="str">
        <f>T("EN AUTRES MATIERES PLASTIQUES")</f>
        <v>EN AUTRES MATIERES PLASTIQUES</v>
      </c>
      <c r="C664" s="1"/>
      <c r="D664" s="1"/>
    </row>
    <row r="665" spans="1:4" x14ac:dyDescent="0.25">
      <c r="B665" t="str">
        <f>T("   Cameroun")</f>
        <v xml:space="preserve">   Cameroun</v>
      </c>
      <c r="C665" s="2">
        <v>2300</v>
      </c>
      <c r="D665" s="2">
        <v>6300000</v>
      </c>
    </row>
    <row r="666" spans="1:4" x14ac:dyDescent="0.25">
      <c r="B666" t="str">
        <f>T("   Tchad")</f>
        <v xml:space="preserve">   Tchad</v>
      </c>
      <c r="C666" s="2">
        <v>123670</v>
      </c>
      <c r="D666" s="2">
        <v>262778386</v>
      </c>
    </row>
    <row r="667" spans="1:4" s="6" customFormat="1" x14ac:dyDescent="0.25">
      <c r="B667" s="6" t="str">
        <f>T("   Total Monde")</f>
        <v xml:space="preserve">   Total Monde</v>
      </c>
      <c r="C667" s="1">
        <v>125970</v>
      </c>
      <c r="D667" s="1">
        <v>269078386</v>
      </c>
    </row>
    <row r="668" spans="1:4" s="6" customFormat="1" x14ac:dyDescent="0.25">
      <c r="A668" s="6" t="str">
        <f>T("391732")</f>
        <v>391732</v>
      </c>
      <c r="B668" s="6" t="str">
        <f>T("AUTRES, NON RENFORCES D'AUTRES MATIERES NI AUTREMENT ASSOCIES A D'AUTRES MATIERES, S")</f>
        <v>AUTRES, NON RENFORCES D'AUTRES MATIERES NI AUTREMENT ASSOCIES A D'AUTRES MATIERES, S</v>
      </c>
      <c r="C668" s="1"/>
      <c r="D668" s="1"/>
    </row>
    <row r="669" spans="1:4" x14ac:dyDescent="0.25">
      <c r="B669" t="str">
        <f>T("   Guinée")</f>
        <v xml:space="preserve">   Guinée</v>
      </c>
      <c r="C669" s="2">
        <v>85</v>
      </c>
      <c r="D669" s="2">
        <v>926000</v>
      </c>
    </row>
    <row r="670" spans="1:4" x14ac:dyDescent="0.25">
      <c r="B670" t="str">
        <f>T("   Niger")</f>
        <v xml:space="preserve">   Niger</v>
      </c>
      <c r="C670" s="2">
        <v>18620</v>
      </c>
      <c r="D670" s="2">
        <v>19444000</v>
      </c>
    </row>
    <row r="671" spans="1:4" x14ac:dyDescent="0.25">
      <c r="B671" t="str">
        <f>T("   Norvège")</f>
        <v xml:space="preserve">   Norvège</v>
      </c>
      <c r="C671" s="2">
        <v>291</v>
      </c>
      <c r="D671" s="2">
        <v>3239345</v>
      </c>
    </row>
    <row r="672" spans="1:4" s="6" customFormat="1" x14ac:dyDescent="0.25">
      <c r="B672" s="6" t="str">
        <f>T("   Total Monde")</f>
        <v xml:space="preserve">   Total Monde</v>
      </c>
      <c r="C672" s="1">
        <v>18996</v>
      </c>
      <c r="D672" s="1">
        <v>23609345</v>
      </c>
    </row>
    <row r="673" spans="1:4" s="6" customFormat="1" x14ac:dyDescent="0.25">
      <c r="A673" s="6" t="str">
        <f>T("391733")</f>
        <v>391733</v>
      </c>
      <c r="B673" s="6" t="str">
        <f>T("AUTRES, NON RENFORCES D'AUTRES MATIERES NI AUTREMENT ASSOCIES A D'AUTRES MATIERES, A")</f>
        <v>AUTRES, NON RENFORCES D'AUTRES MATIERES NI AUTREMENT ASSOCIES A D'AUTRES MATIERES, A</v>
      </c>
      <c r="C673" s="1"/>
      <c r="D673" s="1"/>
    </row>
    <row r="674" spans="1:4" x14ac:dyDescent="0.25">
      <c r="B674" t="str">
        <f>T("   Niger")</f>
        <v xml:space="preserve">   Niger</v>
      </c>
      <c r="C674" s="2">
        <v>965</v>
      </c>
      <c r="D674" s="2">
        <v>3010900</v>
      </c>
    </row>
    <row r="675" spans="1:4" s="6" customFormat="1" x14ac:dyDescent="0.25">
      <c r="B675" s="6" t="str">
        <f>T("   Total Monde")</f>
        <v xml:space="preserve">   Total Monde</v>
      </c>
      <c r="C675" s="1">
        <v>965</v>
      </c>
      <c r="D675" s="1">
        <v>3010900</v>
      </c>
    </row>
    <row r="676" spans="1:4" s="6" customFormat="1" x14ac:dyDescent="0.25">
      <c r="A676" s="6" t="str">
        <f>T("391739")</f>
        <v>391739</v>
      </c>
      <c r="B676" s="6" t="str">
        <f>T("AUTRES")</f>
        <v>AUTRES</v>
      </c>
      <c r="C676" s="1"/>
      <c r="D676" s="1"/>
    </row>
    <row r="677" spans="1:4" x14ac:dyDescent="0.25">
      <c r="B677" t="str">
        <f>T("   Niger")</f>
        <v xml:space="preserve">   Niger</v>
      </c>
      <c r="C677" s="2">
        <v>2615</v>
      </c>
      <c r="D677" s="2">
        <v>3455400</v>
      </c>
    </row>
    <row r="678" spans="1:4" x14ac:dyDescent="0.25">
      <c r="B678" t="str">
        <f>T("   Togo")</f>
        <v xml:space="preserve">   Togo</v>
      </c>
      <c r="C678" s="2">
        <v>78851</v>
      </c>
      <c r="D678" s="2">
        <v>85248500</v>
      </c>
    </row>
    <row r="679" spans="1:4" s="6" customFormat="1" x14ac:dyDescent="0.25">
      <c r="B679" s="6" t="str">
        <f>T("   Total Monde")</f>
        <v xml:space="preserve">   Total Monde</v>
      </c>
      <c r="C679" s="1">
        <v>81466</v>
      </c>
      <c r="D679" s="1">
        <v>88703900</v>
      </c>
    </row>
    <row r="680" spans="1:4" s="6" customFormat="1" x14ac:dyDescent="0.25">
      <c r="A680" s="6" t="str">
        <f>T("391740")</f>
        <v>391740</v>
      </c>
      <c r="B680" s="6" t="str">
        <f>T("ACCESSOIRES")</f>
        <v>ACCESSOIRES</v>
      </c>
      <c r="C680" s="1"/>
      <c r="D680" s="1"/>
    </row>
    <row r="681" spans="1:4" x14ac:dyDescent="0.25">
      <c r="B681" t="str">
        <f>T("   Gabon")</f>
        <v xml:space="preserve">   Gabon</v>
      </c>
      <c r="C681" s="2">
        <v>2402</v>
      </c>
      <c r="D681" s="2">
        <v>31737196</v>
      </c>
    </row>
    <row r="682" spans="1:4" x14ac:dyDescent="0.25">
      <c r="B682" t="str">
        <f>T("   Sénégal")</f>
        <v xml:space="preserve">   Sénégal</v>
      </c>
      <c r="C682" s="2">
        <v>5730</v>
      </c>
      <c r="D682" s="2">
        <v>2000000</v>
      </c>
    </row>
    <row r="683" spans="1:4" s="6" customFormat="1" x14ac:dyDescent="0.25">
      <c r="B683" s="6" t="str">
        <f>T("   Total Monde")</f>
        <v xml:space="preserve">   Total Monde</v>
      </c>
      <c r="C683" s="1">
        <v>8132</v>
      </c>
      <c r="D683" s="1">
        <v>33737196</v>
      </c>
    </row>
    <row r="684" spans="1:4" s="6" customFormat="1" x14ac:dyDescent="0.25">
      <c r="A684" s="6" t="str">
        <f>T("391910")</f>
        <v>391910</v>
      </c>
      <c r="B684" s="6" t="str">
        <f>T("EN ROULEAUX D'UNE LARGEUR N'EXCEDANT PAS 20 CM")</f>
        <v>EN ROULEAUX D'UNE LARGEUR N'EXCEDANT PAS 20 CM</v>
      </c>
      <c r="C684" s="1"/>
      <c r="D684" s="1"/>
    </row>
    <row r="685" spans="1:4" x14ac:dyDescent="0.25">
      <c r="B685" t="str">
        <f>T("   Etats-Unis")</f>
        <v xml:space="preserve">   Etats-Unis</v>
      </c>
      <c r="C685" s="2">
        <v>6</v>
      </c>
      <c r="D685" s="2">
        <v>55266</v>
      </c>
    </row>
    <row r="686" spans="1:4" s="6" customFormat="1" x14ac:dyDescent="0.25">
      <c r="B686" s="6" t="str">
        <f>T("   Total Monde")</f>
        <v xml:space="preserve">   Total Monde</v>
      </c>
      <c r="C686" s="1">
        <v>6</v>
      </c>
      <c r="D686" s="1">
        <v>55266</v>
      </c>
    </row>
    <row r="687" spans="1:4" s="6" customFormat="1" x14ac:dyDescent="0.25">
      <c r="A687" s="6" t="str">
        <f>T("392020")</f>
        <v>392020</v>
      </c>
      <c r="B687" s="6" t="str">
        <f>T("EN POLYMERES DU PROPYLENE")</f>
        <v>EN POLYMERES DU PROPYLENE</v>
      </c>
      <c r="C687" s="1"/>
      <c r="D687" s="1"/>
    </row>
    <row r="688" spans="1:4" x14ac:dyDescent="0.25">
      <c r="B688" t="str">
        <f>T("   France")</f>
        <v xml:space="preserve">   France</v>
      </c>
      <c r="C688" s="2">
        <v>5220</v>
      </c>
      <c r="D688" s="2">
        <v>9880586</v>
      </c>
    </row>
    <row r="689" spans="1:4" x14ac:dyDescent="0.25">
      <c r="B689" t="str">
        <f>T("   Gabon")</f>
        <v xml:space="preserve">   Gabon</v>
      </c>
      <c r="C689" s="2">
        <v>320</v>
      </c>
      <c r="D689" s="2">
        <v>605706</v>
      </c>
    </row>
    <row r="690" spans="1:4" x14ac:dyDescent="0.25">
      <c r="B690" t="str">
        <f>T("   Niger")</f>
        <v xml:space="preserve">   Niger</v>
      </c>
      <c r="C690" s="2">
        <v>1395</v>
      </c>
      <c r="D690" s="2">
        <v>2581278</v>
      </c>
    </row>
    <row r="691" spans="1:4" x14ac:dyDescent="0.25">
      <c r="B691" t="str">
        <f>T("   Nigéria")</f>
        <v xml:space="preserve">   Nigéria</v>
      </c>
      <c r="C691" s="2">
        <v>550</v>
      </c>
      <c r="D691" s="2">
        <v>1040978</v>
      </c>
    </row>
    <row r="692" spans="1:4" s="6" customFormat="1" x14ac:dyDescent="0.25">
      <c r="B692" s="6" t="str">
        <f>T("   Total Monde")</f>
        <v xml:space="preserve">   Total Monde</v>
      </c>
      <c r="C692" s="1">
        <v>7485</v>
      </c>
      <c r="D692" s="1">
        <v>14108548</v>
      </c>
    </row>
    <row r="693" spans="1:4" s="6" customFormat="1" x14ac:dyDescent="0.25">
      <c r="A693" s="6" t="str">
        <f>T("392321")</f>
        <v>392321</v>
      </c>
      <c r="B693" s="6" t="str">
        <f>T("EN POLYMERES DE L'ETHYLENE")</f>
        <v>EN POLYMERES DE L'ETHYLENE</v>
      </c>
      <c r="C693" s="1"/>
      <c r="D693" s="1"/>
    </row>
    <row r="694" spans="1:4" x14ac:dyDescent="0.25">
      <c r="B694" t="str">
        <f>T("   Pays-bas")</f>
        <v xml:space="preserve">   Pays-bas</v>
      </c>
      <c r="C694" s="2">
        <v>300</v>
      </c>
      <c r="D694" s="2">
        <v>5005850</v>
      </c>
    </row>
    <row r="695" spans="1:4" s="6" customFormat="1" x14ac:dyDescent="0.25">
      <c r="B695" s="6" t="str">
        <f>T("   Total Monde")</f>
        <v xml:space="preserve">   Total Monde</v>
      </c>
      <c r="C695" s="1">
        <v>300</v>
      </c>
      <c r="D695" s="1">
        <v>5005850</v>
      </c>
    </row>
    <row r="696" spans="1:4" s="6" customFormat="1" x14ac:dyDescent="0.25">
      <c r="A696" s="6" t="str">
        <f>T("392329")</f>
        <v>392329</v>
      </c>
      <c r="B696" s="6" t="str">
        <f>T("EN AUTRES MATIERES PLASTIQUES")</f>
        <v>EN AUTRES MATIERES PLASTIQUES</v>
      </c>
      <c r="C696" s="1"/>
      <c r="D696" s="1"/>
    </row>
    <row r="697" spans="1:4" x14ac:dyDescent="0.25">
      <c r="B697" t="str">
        <f>T("   Gabon")</f>
        <v xml:space="preserve">   Gabon</v>
      </c>
      <c r="C697" s="2">
        <v>445</v>
      </c>
      <c r="D697" s="2">
        <v>770831</v>
      </c>
    </row>
    <row r="698" spans="1:4" x14ac:dyDescent="0.25">
      <c r="B698" t="str">
        <f>T("   Japon")</f>
        <v xml:space="preserve">   Japon</v>
      </c>
      <c r="C698" s="2">
        <v>80</v>
      </c>
      <c r="D698" s="2">
        <v>3604500</v>
      </c>
    </row>
    <row r="699" spans="1:4" x14ac:dyDescent="0.25">
      <c r="B699" t="str">
        <f>T("   Niger")</f>
        <v xml:space="preserve">   Niger</v>
      </c>
      <c r="C699" s="2">
        <v>310</v>
      </c>
      <c r="D699" s="2">
        <v>536984</v>
      </c>
    </row>
    <row r="700" spans="1:4" x14ac:dyDescent="0.25">
      <c r="B700" t="str">
        <f>T("   Nigéria")</f>
        <v xml:space="preserve">   Nigéria</v>
      </c>
      <c r="C700" s="2">
        <v>300</v>
      </c>
      <c r="D700" s="2">
        <v>519662</v>
      </c>
    </row>
    <row r="701" spans="1:4" s="6" customFormat="1" x14ac:dyDescent="0.25">
      <c r="B701" s="6" t="str">
        <f>T("   Total Monde")</f>
        <v xml:space="preserve">   Total Monde</v>
      </c>
      <c r="C701" s="1">
        <v>1135</v>
      </c>
      <c r="D701" s="1">
        <v>5431977</v>
      </c>
    </row>
    <row r="702" spans="1:4" s="6" customFormat="1" x14ac:dyDescent="0.25">
      <c r="A702" s="6" t="str">
        <f>T("392330")</f>
        <v>392330</v>
      </c>
      <c r="B702" s="6" t="str">
        <f>T("BONBONNES, BOUTEILLES, FLACONS ET ARTICLES SIMILAIRES")</f>
        <v>BONBONNES, BOUTEILLES, FLACONS ET ARTICLES SIMILAIRES</v>
      </c>
      <c r="C702" s="1"/>
      <c r="D702" s="1"/>
    </row>
    <row r="703" spans="1:4" x14ac:dyDescent="0.25">
      <c r="B703" t="str">
        <f>T("   Belgique")</f>
        <v xml:space="preserve">   Belgique</v>
      </c>
      <c r="C703" s="2">
        <v>80</v>
      </c>
      <c r="D703" s="2">
        <v>40000</v>
      </c>
    </row>
    <row r="704" spans="1:4" x14ac:dyDescent="0.25">
      <c r="B704" t="str">
        <f>T("   Guinée Equatoriale")</f>
        <v xml:space="preserve">   Guinée Equatoriale</v>
      </c>
      <c r="C704" s="2">
        <v>10000</v>
      </c>
      <c r="D704" s="2">
        <v>500000</v>
      </c>
    </row>
    <row r="705" spans="1:4" x14ac:dyDescent="0.25">
      <c r="B705" t="str">
        <f>T("   Togo")</f>
        <v xml:space="preserve">   Togo</v>
      </c>
      <c r="C705" s="2">
        <v>9028</v>
      </c>
      <c r="D705" s="2">
        <v>12566400</v>
      </c>
    </row>
    <row r="706" spans="1:4" s="6" customFormat="1" x14ac:dyDescent="0.25">
      <c r="B706" s="6" t="str">
        <f>T("   Total Monde")</f>
        <v xml:space="preserve">   Total Monde</v>
      </c>
      <c r="C706" s="1">
        <v>19108</v>
      </c>
      <c r="D706" s="1">
        <v>13106400</v>
      </c>
    </row>
    <row r="707" spans="1:4" s="6" customFormat="1" x14ac:dyDescent="0.25">
      <c r="A707" s="6" t="str">
        <f>T("392390")</f>
        <v>392390</v>
      </c>
      <c r="B707" s="6" t="str">
        <f>T("AUTRES")</f>
        <v>AUTRES</v>
      </c>
      <c r="C707" s="1"/>
      <c r="D707" s="1"/>
    </row>
    <row r="708" spans="1:4" x14ac:dyDescent="0.25">
      <c r="B708" t="str">
        <f>T("   Congo (Brazzaville)")</f>
        <v xml:space="preserve">   Congo (Brazzaville)</v>
      </c>
      <c r="C708" s="2">
        <v>145</v>
      </c>
      <c r="D708" s="2">
        <v>2550373</v>
      </c>
    </row>
    <row r="709" spans="1:4" x14ac:dyDescent="0.25">
      <c r="B709" t="str">
        <f>T("   Royaume-Uni")</f>
        <v xml:space="preserve">   Royaume-Uni</v>
      </c>
      <c r="C709" s="2">
        <v>2600</v>
      </c>
      <c r="D709" s="2">
        <v>1252706</v>
      </c>
    </row>
    <row r="710" spans="1:4" x14ac:dyDescent="0.25">
      <c r="B710" t="str">
        <f>T("   Guinée Equatoriale")</f>
        <v xml:space="preserve">   Guinée Equatoriale</v>
      </c>
      <c r="C710" s="2">
        <v>50</v>
      </c>
      <c r="D710" s="2">
        <v>80000</v>
      </c>
    </row>
    <row r="711" spans="1:4" x14ac:dyDescent="0.25">
      <c r="B711" t="str">
        <f>T("   Libyenne, Jamahiriya Arabe")</f>
        <v xml:space="preserve">   Libyenne, Jamahiriya Arabe</v>
      </c>
      <c r="C711" s="2">
        <v>1670</v>
      </c>
      <c r="D711" s="2">
        <v>2249287</v>
      </c>
    </row>
    <row r="712" spans="1:4" x14ac:dyDescent="0.25">
      <c r="B712" t="str">
        <f>T("   Malaisie")</f>
        <v xml:space="preserve">   Malaisie</v>
      </c>
      <c r="C712" s="2">
        <v>29952</v>
      </c>
      <c r="D712" s="2">
        <v>67565311</v>
      </c>
    </row>
    <row r="713" spans="1:4" x14ac:dyDescent="0.25">
      <c r="B713" t="str">
        <f>T("   Pays-bas")</f>
        <v xml:space="preserve">   Pays-bas</v>
      </c>
      <c r="C713" s="2">
        <v>2996</v>
      </c>
      <c r="D713" s="2">
        <v>6856300</v>
      </c>
    </row>
    <row r="714" spans="1:4" s="6" customFormat="1" x14ac:dyDescent="0.25">
      <c r="B714" s="6" t="str">
        <f>T("   Total Monde")</f>
        <v xml:space="preserve">   Total Monde</v>
      </c>
      <c r="C714" s="1">
        <v>37413</v>
      </c>
      <c r="D714" s="1">
        <v>80553977</v>
      </c>
    </row>
    <row r="715" spans="1:4" s="6" customFormat="1" x14ac:dyDescent="0.25">
      <c r="A715" s="6" t="str">
        <f>T("392410")</f>
        <v>392410</v>
      </c>
      <c r="B715" s="6" t="str">
        <f>T("VAISSELLE ET AUTRES ARTICLES POUR LE SERVICE DE LA TABLE OU DE LA CUISINE")</f>
        <v>VAISSELLE ET AUTRES ARTICLES POUR LE SERVICE DE LA TABLE OU DE LA CUISINE</v>
      </c>
      <c r="C715" s="1"/>
      <c r="D715" s="1"/>
    </row>
    <row r="716" spans="1:4" x14ac:dyDescent="0.25">
      <c r="B716" t="str">
        <f>T("   France")</f>
        <v xml:space="preserve">   France</v>
      </c>
      <c r="C716" s="2">
        <v>10</v>
      </c>
      <c r="D716" s="2">
        <v>36944</v>
      </c>
    </row>
    <row r="717" spans="1:4" s="6" customFormat="1" x14ac:dyDescent="0.25">
      <c r="B717" s="6" t="str">
        <f>T("   Total Monde")</f>
        <v xml:space="preserve">   Total Monde</v>
      </c>
      <c r="C717" s="1">
        <v>10</v>
      </c>
      <c r="D717" s="1">
        <v>36944</v>
      </c>
    </row>
    <row r="718" spans="1:4" s="6" customFormat="1" x14ac:dyDescent="0.25">
      <c r="A718" s="6" t="str">
        <f>T("392490")</f>
        <v>392490</v>
      </c>
      <c r="B718" s="6" t="str">
        <f>T("AUTRES")</f>
        <v>AUTRES</v>
      </c>
      <c r="C718" s="1"/>
      <c r="D718" s="1"/>
    </row>
    <row r="719" spans="1:4" x14ac:dyDescent="0.25">
      <c r="B719" t="str">
        <f>T("   France")</f>
        <v xml:space="preserve">   France</v>
      </c>
      <c r="C719" s="2">
        <v>842</v>
      </c>
      <c r="D719" s="2">
        <v>6123675</v>
      </c>
    </row>
    <row r="720" spans="1:4" x14ac:dyDescent="0.25">
      <c r="B720" t="str">
        <f>T("   Gabon")</f>
        <v xml:space="preserve">   Gabon</v>
      </c>
      <c r="C720" s="2">
        <v>11350</v>
      </c>
      <c r="D720" s="2">
        <v>3130000</v>
      </c>
    </row>
    <row r="721" spans="1:4" x14ac:dyDescent="0.25">
      <c r="B721" t="str">
        <f>T("   Guinée Equatoriale")</f>
        <v xml:space="preserve">   Guinée Equatoriale</v>
      </c>
      <c r="C721" s="2">
        <v>650</v>
      </c>
      <c r="D721" s="2">
        <v>300000</v>
      </c>
    </row>
    <row r="722" spans="1:4" s="6" customFormat="1" x14ac:dyDescent="0.25">
      <c r="B722" s="6" t="str">
        <f>T("   Total Monde")</f>
        <v xml:space="preserve">   Total Monde</v>
      </c>
      <c r="C722" s="1">
        <v>12842</v>
      </c>
      <c r="D722" s="1">
        <v>9553675</v>
      </c>
    </row>
    <row r="723" spans="1:4" s="6" customFormat="1" x14ac:dyDescent="0.25">
      <c r="A723" s="6" t="str">
        <f>T("392510")</f>
        <v>392510</v>
      </c>
      <c r="B723" s="6" t="str">
        <f>T("RESERVOIRS, FOUDRES, CUVES ET RECIPIENTS ANALOGUES, D'UNE CONTENANCE EXCEDANT 300 L")</f>
        <v>RESERVOIRS, FOUDRES, CUVES ET RECIPIENTS ANALOGUES, D'UNE CONTENANCE EXCEDANT 300 L</v>
      </c>
      <c r="C723" s="1"/>
      <c r="D723" s="1"/>
    </row>
    <row r="724" spans="1:4" x14ac:dyDescent="0.25">
      <c r="B724" t="str">
        <f>T("   Mali")</f>
        <v xml:space="preserve">   Mali</v>
      </c>
      <c r="C724" s="2">
        <v>5000</v>
      </c>
      <c r="D724" s="2">
        <v>1890120</v>
      </c>
    </row>
    <row r="725" spans="1:4" s="6" customFormat="1" x14ac:dyDescent="0.25">
      <c r="B725" s="6" t="str">
        <f>T("   Total Monde")</f>
        <v xml:space="preserve">   Total Monde</v>
      </c>
      <c r="C725" s="1">
        <v>5000</v>
      </c>
      <c r="D725" s="1">
        <v>1890120</v>
      </c>
    </row>
    <row r="726" spans="1:4" s="6" customFormat="1" x14ac:dyDescent="0.25">
      <c r="A726" s="6" t="str">
        <f>T("392590")</f>
        <v>392590</v>
      </c>
      <c r="B726" s="6" t="str">
        <f>T("AUTRES")</f>
        <v>AUTRES</v>
      </c>
      <c r="C726" s="1"/>
      <c r="D726" s="1"/>
    </row>
    <row r="727" spans="1:4" x14ac:dyDescent="0.25">
      <c r="B727" t="str">
        <f>T("   Chine")</f>
        <v xml:space="preserve">   Chine</v>
      </c>
      <c r="C727" s="2">
        <v>18000</v>
      </c>
      <c r="D727" s="2">
        <v>5000000</v>
      </c>
    </row>
    <row r="728" spans="1:4" s="6" customFormat="1" x14ac:dyDescent="0.25">
      <c r="B728" s="6" t="str">
        <f>T("   Total Monde")</f>
        <v xml:space="preserve">   Total Monde</v>
      </c>
      <c r="C728" s="1">
        <v>18000</v>
      </c>
      <c r="D728" s="1">
        <v>5000000</v>
      </c>
    </row>
    <row r="729" spans="1:4" s="6" customFormat="1" x14ac:dyDescent="0.25">
      <c r="A729" s="6" t="str">
        <f>T("392610")</f>
        <v>392610</v>
      </c>
      <c r="B729" s="6" t="str">
        <f>T("ARTICLES DE BUREAU ET ARTICLES SCOLAIRES")</f>
        <v>ARTICLES DE BUREAU ET ARTICLES SCOLAIRES</v>
      </c>
      <c r="C729" s="1"/>
      <c r="D729" s="1"/>
    </row>
    <row r="730" spans="1:4" x14ac:dyDescent="0.25">
      <c r="B730" t="str">
        <f>T("   Gabon")</f>
        <v xml:space="preserve">   Gabon</v>
      </c>
      <c r="C730" s="2">
        <v>1520</v>
      </c>
      <c r="D730" s="2">
        <v>100000</v>
      </c>
    </row>
    <row r="731" spans="1:4" s="6" customFormat="1" x14ac:dyDescent="0.25">
      <c r="B731" s="6" t="str">
        <f>T("   Total Monde")</f>
        <v xml:space="preserve">   Total Monde</v>
      </c>
      <c r="C731" s="1">
        <v>1520</v>
      </c>
      <c r="D731" s="1">
        <v>100000</v>
      </c>
    </row>
    <row r="732" spans="1:4" s="6" customFormat="1" x14ac:dyDescent="0.25">
      <c r="A732" s="6" t="str">
        <f>T("392640")</f>
        <v>392640</v>
      </c>
      <c r="B732" s="6" t="str">
        <f>T("STATUETTES ET AUTRES OBJETS D'ORNEMENTATION")</f>
        <v>STATUETTES ET AUTRES OBJETS D'ORNEMENTATION</v>
      </c>
      <c r="C732" s="1"/>
      <c r="D732" s="1"/>
    </row>
    <row r="733" spans="1:4" x14ac:dyDescent="0.25">
      <c r="B733" t="str">
        <f>T("   Togo")</f>
        <v xml:space="preserve">   Togo</v>
      </c>
      <c r="C733" s="2">
        <v>2564</v>
      </c>
      <c r="D733" s="2">
        <v>947397</v>
      </c>
    </row>
    <row r="734" spans="1:4" s="6" customFormat="1" x14ac:dyDescent="0.25">
      <c r="B734" s="6" t="str">
        <f>T("   Total Monde")</f>
        <v xml:space="preserve">   Total Monde</v>
      </c>
      <c r="C734" s="1">
        <v>2564</v>
      </c>
      <c r="D734" s="1">
        <v>947397</v>
      </c>
    </row>
    <row r="735" spans="1:4" s="6" customFormat="1" x14ac:dyDescent="0.25">
      <c r="A735" s="6" t="str">
        <f>T("392690")</f>
        <v>392690</v>
      </c>
      <c r="B735" s="6" t="str">
        <f>T("AUTRES")</f>
        <v>AUTRES</v>
      </c>
      <c r="C735" s="1"/>
      <c r="D735" s="1"/>
    </row>
    <row r="736" spans="1:4" x14ac:dyDescent="0.25">
      <c r="B736" t="str">
        <f>T("   Gabon")</f>
        <v xml:space="preserve">   Gabon</v>
      </c>
      <c r="C736" s="2">
        <v>1246</v>
      </c>
      <c r="D736" s="2">
        <v>11609621</v>
      </c>
    </row>
    <row r="737" spans="1:4" x14ac:dyDescent="0.25">
      <c r="B737" t="str">
        <f>T("   Pays-bas")</f>
        <v xml:space="preserve">   Pays-bas</v>
      </c>
      <c r="C737" s="2">
        <v>5261</v>
      </c>
      <c r="D737" s="2">
        <v>36910361</v>
      </c>
    </row>
    <row r="738" spans="1:4" x14ac:dyDescent="0.25">
      <c r="B738" t="str">
        <f>T("   Philippines")</f>
        <v xml:space="preserve">   Philippines</v>
      </c>
      <c r="C738" s="2">
        <v>15000</v>
      </c>
      <c r="D738" s="2">
        <v>1920000</v>
      </c>
    </row>
    <row r="739" spans="1:4" x14ac:dyDescent="0.25">
      <c r="B739" t="str">
        <f>T("   Etats-Unis")</f>
        <v xml:space="preserve">   Etats-Unis</v>
      </c>
      <c r="C739" s="2">
        <v>1466</v>
      </c>
      <c r="D739" s="2">
        <v>5091257</v>
      </c>
    </row>
    <row r="740" spans="1:4" s="6" customFormat="1" x14ac:dyDescent="0.25">
      <c r="B740" s="6" t="str">
        <f>T("   Total Monde")</f>
        <v xml:space="preserve">   Total Monde</v>
      </c>
      <c r="C740" s="1">
        <v>22973</v>
      </c>
      <c r="D740" s="1">
        <v>55531239</v>
      </c>
    </row>
    <row r="741" spans="1:4" s="6" customFormat="1" x14ac:dyDescent="0.25">
      <c r="A741" s="6" t="str">
        <f>T("401162")</f>
        <v>401162</v>
      </c>
      <c r="B741" s="6" t="str">
        <f>T("DES TYPES UTILISES POUR LES VEHICULES ET ENGINS DE GENIE CIVIL ET DE MANUTENTION IND")</f>
        <v>DES TYPES UTILISES POUR LES VEHICULES ET ENGINS DE GENIE CIVIL ET DE MANUTENTION IND</v>
      </c>
      <c r="C741" s="1"/>
      <c r="D741" s="1"/>
    </row>
    <row r="742" spans="1:4" x14ac:dyDescent="0.25">
      <c r="B742" t="str">
        <f>T("   France")</f>
        <v xml:space="preserve">   France</v>
      </c>
      <c r="C742" s="2">
        <v>8000</v>
      </c>
      <c r="D742" s="2">
        <v>11380906</v>
      </c>
    </row>
    <row r="743" spans="1:4" s="6" customFormat="1" x14ac:dyDescent="0.25">
      <c r="B743" s="6" t="str">
        <f>T("   Total Monde")</f>
        <v xml:space="preserve">   Total Monde</v>
      </c>
      <c r="C743" s="1">
        <v>8000</v>
      </c>
      <c r="D743" s="1">
        <v>11380906</v>
      </c>
    </row>
    <row r="744" spans="1:4" s="6" customFormat="1" x14ac:dyDescent="0.25">
      <c r="A744" s="6" t="str">
        <f>T("401211")</f>
        <v>401211</v>
      </c>
      <c r="B744" s="6" t="str">
        <f>T("DES TYPES UTILISES POUR LES VOITURES DE TOURISME (Y COMPRIS LES VOITURES DU TYPE «BR")</f>
        <v>DES TYPES UTILISES POUR LES VOITURES DE TOURISME (Y COMPRIS LES VOITURES DU TYPE «BR</v>
      </c>
      <c r="C744" s="1"/>
      <c r="D744" s="1"/>
    </row>
    <row r="745" spans="1:4" x14ac:dyDescent="0.25">
      <c r="B745" t="str">
        <f>T("   Gabon")</f>
        <v xml:space="preserve">   Gabon</v>
      </c>
      <c r="C745" s="2">
        <v>870</v>
      </c>
      <c r="D745" s="2">
        <v>1830000</v>
      </c>
    </row>
    <row r="746" spans="1:4" s="6" customFormat="1" x14ac:dyDescent="0.25">
      <c r="B746" s="6" t="str">
        <f>T("   Total Monde")</f>
        <v xml:space="preserve">   Total Monde</v>
      </c>
      <c r="C746" s="1">
        <v>870</v>
      </c>
      <c r="D746" s="1">
        <v>1830000</v>
      </c>
    </row>
    <row r="747" spans="1:4" s="6" customFormat="1" x14ac:dyDescent="0.25">
      <c r="A747" s="6" t="str">
        <f>T("401220")</f>
        <v>401220</v>
      </c>
      <c r="B747" s="6" t="str">
        <f>T("PNEUMATIQUES USAGES")</f>
        <v>PNEUMATIQUES USAGES</v>
      </c>
      <c r="C747" s="1"/>
      <c r="D747" s="1"/>
    </row>
    <row r="748" spans="1:4" x14ac:dyDescent="0.25">
      <c r="B748" t="str">
        <f>T("   Congo (Brazzaville)")</f>
        <v xml:space="preserve">   Congo (Brazzaville)</v>
      </c>
      <c r="C748" s="2">
        <v>38250</v>
      </c>
      <c r="D748" s="2">
        <v>13770000</v>
      </c>
    </row>
    <row r="749" spans="1:4" x14ac:dyDescent="0.25">
      <c r="B749" t="str">
        <f>T("   Guinée Equatoriale")</f>
        <v xml:space="preserve">   Guinée Equatoriale</v>
      </c>
      <c r="C749" s="2">
        <v>40300</v>
      </c>
      <c r="D749" s="2">
        <v>2400633</v>
      </c>
    </row>
    <row r="750" spans="1:4" s="6" customFormat="1" x14ac:dyDescent="0.25">
      <c r="B750" s="6" t="str">
        <f>T("   Total Monde")</f>
        <v xml:space="preserve">   Total Monde</v>
      </c>
      <c r="C750" s="1">
        <v>78550</v>
      </c>
      <c r="D750" s="1">
        <v>16170633</v>
      </c>
    </row>
    <row r="751" spans="1:4" s="6" customFormat="1" x14ac:dyDescent="0.25">
      <c r="A751" s="6" t="str">
        <f>T("401390")</f>
        <v>401390</v>
      </c>
      <c r="B751" s="6" t="str">
        <f>T("AUTRES")</f>
        <v>AUTRES</v>
      </c>
      <c r="C751" s="1"/>
      <c r="D751" s="1"/>
    </row>
    <row r="752" spans="1:4" x14ac:dyDescent="0.25">
      <c r="B752" t="str">
        <f>T("   Guinée Equatoriale")</f>
        <v xml:space="preserve">   Guinée Equatoriale</v>
      </c>
      <c r="C752" s="2">
        <v>12900</v>
      </c>
      <c r="D752" s="2">
        <v>2100000</v>
      </c>
    </row>
    <row r="753" spans="1:4" s="6" customFormat="1" x14ac:dyDescent="0.25">
      <c r="B753" s="6" t="str">
        <f>T("   Total Monde")</f>
        <v xml:space="preserve">   Total Monde</v>
      </c>
      <c r="C753" s="1">
        <v>12900</v>
      </c>
      <c r="D753" s="1">
        <v>2100000</v>
      </c>
    </row>
    <row r="754" spans="1:4" s="6" customFormat="1" x14ac:dyDescent="0.25">
      <c r="A754" s="6" t="str">
        <f>T("401410")</f>
        <v>401410</v>
      </c>
      <c r="B754" s="6" t="str">
        <f>T("PRESERVATIFS")</f>
        <v>PRESERVATIFS</v>
      </c>
      <c r="C754" s="1"/>
      <c r="D754" s="1"/>
    </row>
    <row r="755" spans="1:4" x14ac:dyDescent="0.25">
      <c r="B755" t="str">
        <f>T("   Gabon")</f>
        <v xml:space="preserve">   Gabon</v>
      </c>
      <c r="C755" s="2">
        <v>1020</v>
      </c>
      <c r="D755" s="2">
        <v>910000</v>
      </c>
    </row>
    <row r="756" spans="1:4" s="6" customFormat="1" x14ac:dyDescent="0.25">
      <c r="B756" s="6" t="str">
        <f>T("   Total Monde")</f>
        <v xml:space="preserve">   Total Monde</v>
      </c>
      <c r="C756" s="1">
        <v>1020</v>
      </c>
      <c r="D756" s="1">
        <v>910000</v>
      </c>
    </row>
    <row r="757" spans="1:4" s="6" customFormat="1" x14ac:dyDescent="0.25">
      <c r="A757" s="6" t="str">
        <f>T("401693")</f>
        <v>401693</v>
      </c>
      <c r="B757" s="6" t="str">
        <f>T("JOINTS")</f>
        <v>JOINTS</v>
      </c>
      <c r="C757" s="1"/>
      <c r="D757" s="1"/>
    </row>
    <row r="758" spans="1:4" x14ac:dyDescent="0.25">
      <c r="B758" t="str">
        <f>T("   Gabon")</f>
        <v xml:space="preserve">   Gabon</v>
      </c>
      <c r="C758" s="2">
        <v>165</v>
      </c>
      <c r="D758" s="2">
        <v>6072704</v>
      </c>
    </row>
    <row r="759" spans="1:4" s="6" customFormat="1" x14ac:dyDescent="0.25">
      <c r="B759" s="6" t="str">
        <f>T("   Total Monde")</f>
        <v xml:space="preserve">   Total Monde</v>
      </c>
      <c r="C759" s="1">
        <v>165</v>
      </c>
      <c r="D759" s="1">
        <v>6072704</v>
      </c>
    </row>
    <row r="760" spans="1:4" s="6" customFormat="1" x14ac:dyDescent="0.25">
      <c r="A760" s="6" t="str">
        <f>T("401695")</f>
        <v>401695</v>
      </c>
      <c r="B760" s="6" t="str">
        <f>T("AUTRES ARTICLES GONFLABLES")</f>
        <v>AUTRES ARTICLES GONFLABLES</v>
      </c>
      <c r="C760" s="1"/>
      <c r="D760" s="1"/>
    </row>
    <row r="761" spans="1:4" x14ac:dyDescent="0.25">
      <c r="B761" t="str">
        <f>T("   Etats-Unis")</f>
        <v xml:space="preserve">   Etats-Unis</v>
      </c>
      <c r="C761" s="2">
        <v>220</v>
      </c>
      <c r="D761" s="2">
        <v>15112329</v>
      </c>
    </row>
    <row r="762" spans="1:4" s="6" customFormat="1" x14ac:dyDescent="0.25">
      <c r="B762" s="6" t="str">
        <f>T("   Total Monde")</f>
        <v xml:space="preserve">   Total Monde</v>
      </c>
      <c r="C762" s="1">
        <v>220</v>
      </c>
      <c r="D762" s="1">
        <v>15112329</v>
      </c>
    </row>
    <row r="763" spans="1:4" s="6" customFormat="1" x14ac:dyDescent="0.25">
      <c r="A763" s="6" t="str">
        <f>T("401699")</f>
        <v>401699</v>
      </c>
      <c r="B763" s="6" t="str">
        <f>T("AUTRES")</f>
        <v>AUTRES</v>
      </c>
      <c r="C763" s="1"/>
      <c r="D763" s="1"/>
    </row>
    <row r="764" spans="1:4" x14ac:dyDescent="0.25">
      <c r="B764" t="str">
        <f>T("   Côte d'Ivoire")</f>
        <v xml:space="preserve">   Côte d'Ivoire</v>
      </c>
      <c r="C764" s="2">
        <v>3000</v>
      </c>
      <c r="D764" s="2">
        <v>50000</v>
      </c>
    </row>
    <row r="765" spans="1:4" x14ac:dyDescent="0.25">
      <c r="B765" t="str">
        <f>T("   Royaume-Uni")</f>
        <v xml:space="preserve">   Royaume-Uni</v>
      </c>
      <c r="C765" s="2">
        <v>1</v>
      </c>
      <c r="D765" s="2">
        <v>49815</v>
      </c>
    </row>
    <row r="766" spans="1:4" s="6" customFormat="1" x14ac:dyDescent="0.25">
      <c r="B766" s="6" t="str">
        <f>T("   Total Monde")</f>
        <v xml:space="preserve">   Total Monde</v>
      </c>
      <c r="C766" s="1">
        <v>3001</v>
      </c>
      <c r="D766" s="1">
        <v>99815</v>
      </c>
    </row>
    <row r="767" spans="1:4" s="6" customFormat="1" x14ac:dyDescent="0.25">
      <c r="A767" s="6" t="str">
        <f>T("410150")</f>
        <v>410150</v>
      </c>
      <c r="B767" s="6" t="str">
        <f>T("CUIRS ET PEAUX BRUTS ENTIERS, D’UN POIDS UNITAIRE EXCEDANT 16 KG")</f>
        <v>CUIRS ET PEAUX BRUTS ENTIERS, D’UN POIDS UNITAIRE EXCEDANT 16 KG</v>
      </c>
      <c r="C767" s="1"/>
      <c r="D767" s="1"/>
    </row>
    <row r="768" spans="1:4" x14ac:dyDescent="0.25">
      <c r="B768" t="str">
        <f>T("   Kenya")</f>
        <v xml:space="preserve">   Kenya</v>
      </c>
      <c r="C768" s="2">
        <v>20000</v>
      </c>
      <c r="D768" s="2">
        <v>3500000</v>
      </c>
    </row>
    <row r="769" spans="1:4" s="6" customFormat="1" x14ac:dyDescent="0.25">
      <c r="B769" s="6" t="str">
        <f>T("   Total Monde")</f>
        <v xml:space="preserve">   Total Monde</v>
      </c>
      <c r="C769" s="1">
        <v>20000</v>
      </c>
      <c r="D769" s="1">
        <v>3500000</v>
      </c>
    </row>
    <row r="770" spans="1:4" s="6" customFormat="1" x14ac:dyDescent="0.25">
      <c r="A770" s="6" t="str">
        <f>T("410510")</f>
        <v>410510</v>
      </c>
      <c r="B770" s="6" t="str">
        <f>T("A L'ETAT HUMIDE (Y COMPRIS WETBLUE)")</f>
        <v>A L'ETAT HUMIDE (Y COMPRIS WETBLUE)</v>
      </c>
      <c r="C770" s="1"/>
      <c r="D770" s="1"/>
    </row>
    <row r="771" spans="1:4" x14ac:dyDescent="0.25">
      <c r="B771" t="str">
        <f>T("   Bangladesh")</f>
        <v xml:space="preserve">   Bangladesh</v>
      </c>
      <c r="C771" s="2">
        <v>105269</v>
      </c>
      <c r="D771" s="2">
        <v>40327900</v>
      </c>
    </row>
    <row r="772" spans="1:4" s="6" customFormat="1" x14ac:dyDescent="0.25">
      <c r="B772" s="6" t="str">
        <f>T("   Total Monde")</f>
        <v xml:space="preserve">   Total Monde</v>
      </c>
      <c r="C772" s="1">
        <v>105269</v>
      </c>
      <c r="D772" s="1">
        <v>40327900</v>
      </c>
    </row>
    <row r="773" spans="1:4" s="6" customFormat="1" x14ac:dyDescent="0.25">
      <c r="A773" s="6" t="str">
        <f>T("420299")</f>
        <v>420299</v>
      </c>
      <c r="B773" s="6" t="str">
        <f>T("AUTRES")</f>
        <v>AUTRES</v>
      </c>
      <c r="C773" s="1"/>
      <c r="D773" s="1"/>
    </row>
    <row r="774" spans="1:4" x14ac:dyDescent="0.25">
      <c r="B774" t="str">
        <f>T("   Gabon")</f>
        <v xml:space="preserve">   Gabon</v>
      </c>
      <c r="C774" s="2">
        <v>19</v>
      </c>
      <c r="D774" s="2">
        <v>218576</v>
      </c>
    </row>
    <row r="775" spans="1:4" x14ac:dyDescent="0.25">
      <c r="B775" t="str">
        <f>T("   Japon")</f>
        <v xml:space="preserve">   Japon</v>
      </c>
      <c r="C775" s="2">
        <v>164</v>
      </c>
      <c r="D775" s="2">
        <v>5670774</v>
      </c>
    </row>
    <row r="776" spans="1:4" s="6" customFormat="1" x14ac:dyDescent="0.25">
      <c r="B776" s="6" t="str">
        <f>T("   Total Monde")</f>
        <v xml:space="preserve">   Total Monde</v>
      </c>
      <c r="C776" s="1">
        <v>183</v>
      </c>
      <c r="D776" s="1">
        <v>5889350</v>
      </c>
    </row>
    <row r="777" spans="1:4" s="6" customFormat="1" x14ac:dyDescent="0.25">
      <c r="A777" s="6" t="str">
        <f>T("440290")</f>
        <v>440290</v>
      </c>
      <c r="B777" s="6" t="str">
        <f>T("AUTRES")</f>
        <v>AUTRES</v>
      </c>
      <c r="C777" s="1"/>
      <c r="D777" s="1"/>
    </row>
    <row r="778" spans="1:4" x14ac:dyDescent="0.25">
      <c r="B778" t="str">
        <f>T("   Inde")</f>
        <v xml:space="preserve">   Inde</v>
      </c>
      <c r="C778" s="2">
        <v>98000</v>
      </c>
      <c r="D778" s="2">
        <v>6300000</v>
      </c>
    </row>
    <row r="779" spans="1:4" s="6" customFormat="1" x14ac:dyDescent="0.25">
      <c r="B779" s="6" t="str">
        <f>T("   Total Monde")</f>
        <v xml:space="preserve">   Total Monde</v>
      </c>
      <c r="C779" s="1">
        <v>98000</v>
      </c>
      <c r="D779" s="1">
        <v>6300000</v>
      </c>
    </row>
    <row r="780" spans="1:4" s="6" customFormat="1" x14ac:dyDescent="0.25">
      <c r="A780" s="6" t="str">
        <f>T("440349")</f>
        <v>440349</v>
      </c>
      <c r="B780" s="6" t="str">
        <f>T("AUTRES")</f>
        <v>AUTRES</v>
      </c>
      <c r="C780" s="1"/>
      <c r="D780" s="1"/>
    </row>
    <row r="781" spans="1:4" x14ac:dyDescent="0.25">
      <c r="B781" t="str">
        <f>T("   Chine")</f>
        <v xml:space="preserve">   Chine</v>
      </c>
      <c r="C781" s="2">
        <v>20000</v>
      </c>
      <c r="D781" s="2">
        <v>1000000</v>
      </c>
    </row>
    <row r="782" spans="1:4" x14ac:dyDescent="0.25">
      <c r="B782" t="str">
        <f>T("   Inde")</f>
        <v xml:space="preserve">   Inde</v>
      </c>
      <c r="C782" s="2">
        <v>28000</v>
      </c>
      <c r="D782" s="2">
        <v>2500000</v>
      </c>
    </row>
    <row r="783" spans="1:4" s="6" customFormat="1" x14ac:dyDescent="0.25">
      <c r="B783" s="6" t="str">
        <f>T("   Total Monde")</f>
        <v xml:space="preserve">   Total Monde</v>
      </c>
      <c r="C783" s="1">
        <v>48000</v>
      </c>
      <c r="D783" s="1">
        <v>3500000</v>
      </c>
    </row>
    <row r="784" spans="1:4" s="6" customFormat="1" x14ac:dyDescent="0.25">
      <c r="A784" s="6" t="str">
        <f>T("440399")</f>
        <v>440399</v>
      </c>
      <c r="B784" s="6" t="str">
        <f>T("AUTRES")</f>
        <v>AUTRES</v>
      </c>
      <c r="C784" s="1"/>
      <c r="D784" s="1"/>
    </row>
    <row r="785" spans="1:4" x14ac:dyDescent="0.25">
      <c r="B785" t="str">
        <f>T("   Chine")</f>
        <v xml:space="preserve">   Chine</v>
      </c>
      <c r="C785" s="2">
        <v>7350000</v>
      </c>
      <c r="D785" s="2">
        <v>396300000</v>
      </c>
    </row>
    <row r="786" spans="1:4" x14ac:dyDescent="0.25">
      <c r="B786" t="str">
        <f>T("   Inde")</f>
        <v xml:space="preserve">   Inde</v>
      </c>
      <c r="C786" s="2">
        <v>13800000</v>
      </c>
      <c r="D786" s="2">
        <v>703600000</v>
      </c>
    </row>
    <row r="787" spans="1:4" x14ac:dyDescent="0.25">
      <c r="B787" t="str">
        <f>T("   Turquie")</f>
        <v xml:space="preserve">   Turquie</v>
      </c>
      <c r="C787" s="2">
        <v>10000</v>
      </c>
      <c r="D787" s="2">
        <v>500000</v>
      </c>
    </row>
    <row r="788" spans="1:4" x14ac:dyDescent="0.25">
      <c r="B788" t="str">
        <f>T("   Etats-Unis")</f>
        <v xml:space="preserve">   Etats-Unis</v>
      </c>
      <c r="C788" s="2">
        <v>15000</v>
      </c>
      <c r="D788" s="2">
        <v>750000</v>
      </c>
    </row>
    <row r="789" spans="1:4" s="6" customFormat="1" x14ac:dyDescent="0.25">
      <c r="B789" s="6" t="str">
        <f>T("   Total Monde")</f>
        <v xml:space="preserve">   Total Monde</v>
      </c>
      <c r="C789" s="1">
        <v>21175000</v>
      </c>
      <c r="D789" s="1">
        <v>1101150000</v>
      </c>
    </row>
    <row r="790" spans="1:4" s="6" customFormat="1" x14ac:dyDescent="0.25">
      <c r="A790" s="6" t="str">
        <f>T("440690")</f>
        <v>440690</v>
      </c>
      <c r="B790" s="6" t="str">
        <f>T("AUTRES")</f>
        <v>AUTRES</v>
      </c>
      <c r="C790" s="1"/>
      <c r="D790" s="1"/>
    </row>
    <row r="791" spans="1:4" x14ac:dyDescent="0.25">
      <c r="B791" t="str">
        <f>T("   Chine")</f>
        <v xml:space="preserve">   Chine</v>
      </c>
      <c r="C791" s="2">
        <v>7750000</v>
      </c>
      <c r="D791" s="2">
        <v>392200000</v>
      </c>
    </row>
    <row r="792" spans="1:4" x14ac:dyDescent="0.25">
      <c r="B792" t="str">
        <f>T("   Inde")</f>
        <v xml:space="preserve">   Inde</v>
      </c>
      <c r="C792" s="2">
        <v>9734000</v>
      </c>
      <c r="D792" s="2">
        <v>508382869</v>
      </c>
    </row>
    <row r="793" spans="1:4" x14ac:dyDescent="0.25">
      <c r="B793" t="str">
        <f>T("   Vietnam")</f>
        <v xml:space="preserve">   Vietnam</v>
      </c>
      <c r="C793" s="2">
        <v>170000</v>
      </c>
      <c r="D793" s="2">
        <v>8500000</v>
      </c>
    </row>
    <row r="794" spans="1:4" s="6" customFormat="1" x14ac:dyDescent="0.25">
      <c r="B794" s="6" t="str">
        <f>T("   Total Monde")</f>
        <v xml:space="preserve">   Total Monde</v>
      </c>
      <c r="C794" s="1">
        <v>17654000</v>
      </c>
      <c r="D794" s="1">
        <v>909082869</v>
      </c>
    </row>
    <row r="795" spans="1:4" s="6" customFormat="1" x14ac:dyDescent="0.25">
      <c r="A795" s="6" t="str">
        <f>T("440729")</f>
        <v>440729</v>
      </c>
      <c r="B795" s="6" t="str">
        <f>T("AUTRES")</f>
        <v>AUTRES</v>
      </c>
      <c r="C795" s="1"/>
      <c r="D795" s="1"/>
    </row>
    <row r="796" spans="1:4" x14ac:dyDescent="0.25">
      <c r="B796" t="str">
        <f>T("   Bangladesh")</f>
        <v xml:space="preserve">   Bangladesh</v>
      </c>
      <c r="C796" s="2">
        <v>5000</v>
      </c>
      <c r="D796" s="2">
        <v>871150</v>
      </c>
    </row>
    <row r="797" spans="1:4" x14ac:dyDescent="0.25">
      <c r="B797" t="str">
        <f>T("   Chine")</f>
        <v xml:space="preserve">   Chine</v>
      </c>
      <c r="C797" s="2">
        <v>3634000</v>
      </c>
      <c r="D797" s="2">
        <v>374588956</v>
      </c>
    </row>
    <row r="798" spans="1:4" x14ac:dyDescent="0.25">
      <c r="B798" t="str">
        <f>T("   France")</f>
        <v xml:space="preserve">   France</v>
      </c>
      <c r="C798" s="2">
        <v>40000</v>
      </c>
      <c r="D798" s="2">
        <v>121177007</v>
      </c>
    </row>
    <row r="799" spans="1:4" x14ac:dyDescent="0.25">
      <c r="B799" t="str">
        <f>T("   Inde")</f>
        <v xml:space="preserve">   Inde</v>
      </c>
      <c r="C799" s="2">
        <v>1793000</v>
      </c>
      <c r="D799" s="2">
        <v>2976204011</v>
      </c>
    </row>
    <row r="800" spans="1:4" x14ac:dyDescent="0.25">
      <c r="B800" t="str">
        <f>T("   Italie")</f>
        <v xml:space="preserve">   Italie</v>
      </c>
      <c r="C800" s="2">
        <v>116000</v>
      </c>
      <c r="D800" s="2">
        <v>411412589</v>
      </c>
    </row>
    <row r="801" spans="1:4" x14ac:dyDescent="0.25">
      <c r="B801" t="str">
        <f>T("   Singapour")</f>
        <v xml:space="preserve">   Singapour</v>
      </c>
      <c r="C801" s="2">
        <v>51000</v>
      </c>
      <c r="D801" s="2">
        <v>158536458</v>
      </c>
    </row>
    <row r="802" spans="1:4" s="6" customFormat="1" x14ac:dyDescent="0.25">
      <c r="B802" s="6" t="str">
        <f>T("   Total Monde")</f>
        <v xml:space="preserve">   Total Monde</v>
      </c>
      <c r="C802" s="1">
        <v>5639000</v>
      </c>
      <c r="D802" s="1">
        <v>4042790171</v>
      </c>
    </row>
    <row r="803" spans="1:4" s="6" customFormat="1" x14ac:dyDescent="0.25">
      <c r="A803" s="6" t="str">
        <f>T("440799")</f>
        <v>440799</v>
      </c>
      <c r="B803" s="6" t="str">
        <f>T("AUTRES")</f>
        <v>AUTRES</v>
      </c>
      <c r="C803" s="1"/>
      <c r="D803" s="1"/>
    </row>
    <row r="804" spans="1:4" x14ac:dyDescent="0.25">
      <c r="B804" t="str">
        <f>T("   Congo (Brazzaville)")</f>
        <v xml:space="preserve">   Congo (Brazzaville)</v>
      </c>
      <c r="C804" s="2">
        <v>1765</v>
      </c>
      <c r="D804" s="2">
        <v>1847183</v>
      </c>
    </row>
    <row r="805" spans="1:4" x14ac:dyDescent="0.25">
      <c r="B805" t="str">
        <f>T("   Espagne")</f>
        <v xml:space="preserve">   Espagne</v>
      </c>
      <c r="C805" s="2">
        <v>12230</v>
      </c>
      <c r="D805" s="2">
        <v>25000000</v>
      </c>
    </row>
    <row r="806" spans="1:4" x14ac:dyDescent="0.25">
      <c r="B806" t="str">
        <f>T("   Italie")</f>
        <v xml:space="preserve">   Italie</v>
      </c>
      <c r="C806" s="2">
        <v>42090</v>
      </c>
      <c r="D806" s="2">
        <v>79769905</v>
      </c>
    </row>
    <row r="807" spans="1:4" s="6" customFormat="1" x14ac:dyDescent="0.25">
      <c r="B807" s="6" t="str">
        <f>T("   Total Monde")</f>
        <v xml:space="preserve">   Total Monde</v>
      </c>
      <c r="C807" s="1">
        <v>56085</v>
      </c>
      <c r="D807" s="1">
        <v>106617088</v>
      </c>
    </row>
    <row r="808" spans="1:4" s="6" customFormat="1" x14ac:dyDescent="0.25">
      <c r="A808" s="6" t="str">
        <f>T("440921")</f>
        <v>440921</v>
      </c>
      <c r="B808" s="6" t="str">
        <f>T("EN BAMBOU")</f>
        <v>EN BAMBOU</v>
      </c>
      <c r="C808" s="1"/>
      <c r="D808" s="1"/>
    </row>
    <row r="809" spans="1:4" x14ac:dyDescent="0.25">
      <c r="B809" t="str">
        <f>T("   Inde")</f>
        <v xml:space="preserve">   Inde</v>
      </c>
      <c r="C809" s="2">
        <v>10000</v>
      </c>
      <c r="D809" s="2">
        <v>500000</v>
      </c>
    </row>
    <row r="810" spans="1:4" s="6" customFormat="1" x14ac:dyDescent="0.25">
      <c r="B810" s="6" t="str">
        <f>T("   Total Monde")</f>
        <v xml:space="preserve">   Total Monde</v>
      </c>
      <c r="C810" s="1">
        <v>10000</v>
      </c>
      <c r="D810" s="1">
        <v>500000</v>
      </c>
    </row>
    <row r="811" spans="1:4" s="6" customFormat="1" x14ac:dyDescent="0.25">
      <c r="A811" s="6" t="str">
        <f>T("441239")</f>
        <v>441239</v>
      </c>
      <c r="B811" s="6" t="str">
        <f>T("AUTRES")</f>
        <v>AUTRES</v>
      </c>
      <c r="C811" s="1"/>
      <c r="D811" s="1"/>
    </row>
    <row r="812" spans="1:4" x14ac:dyDescent="0.25">
      <c r="B812" t="str">
        <f>T("   Burkina Faso")</f>
        <v xml:space="preserve">   Burkina Faso</v>
      </c>
      <c r="C812" s="2">
        <v>30000</v>
      </c>
      <c r="D812" s="2">
        <v>4500000</v>
      </c>
    </row>
    <row r="813" spans="1:4" s="6" customFormat="1" x14ac:dyDescent="0.25">
      <c r="B813" s="6" t="str">
        <f>T("   Total Monde")</f>
        <v xml:space="preserve">   Total Monde</v>
      </c>
      <c r="C813" s="1">
        <v>30000</v>
      </c>
      <c r="D813" s="1">
        <v>4500000</v>
      </c>
    </row>
    <row r="814" spans="1:4" s="6" customFormat="1" x14ac:dyDescent="0.25">
      <c r="A814" s="6" t="str">
        <f>T("441820")</f>
        <v>441820</v>
      </c>
      <c r="B814" s="6" t="str">
        <f>T("PORTES ET LEURS CADRES, CHAMBRANLES ET SEUILS")</f>
        <v>PORTES ET LEURS CADRES, CHAMBRANLES ET SEUILS</v>
      </c>
      <c r="C814" s="1"/>
      <c r="D814" s="1"/>
    </row>
    <row r="815" spans="1:4" x14ac:dyDescent="0.25">
      <c r="B815" t="str">
        <f>T("   Niger")</f>
        <v xml:space="preserve">   Niger</v>
      </c>
      <c r="C815" s="2">
        <v>500</v>
      </c>
      <c r="D815" s="2">
        <v>245000</v>
      </c>
    </row>
    <row r="816" spans="1:4" s="6" customFormat="1" x14ac:dyDescent="0.25">
      <c r="B816" s="6" t="str">
        <f>T("   Total Monde")</f>
        <v xml:space="preserve">   Total Monde</v>
      </c>
      <c r="C816" s="1">
        <v>500</v>
      </c>
      <c r="D816" s="1">
        <v>245000</v>
      </c>
    </row>
    <row r="817" spans="1:4" s="6" customFormat="1" x14ac:dyDescent="0.25">
      <c r="A817" s="6" t="str">
        <f>T("441840")</f>
        <v>441840</v>
      </c>
      <c r="B817" s="6" t="str">
        <f>T("COFFRAGES POUR LE BETONNAGE")</f>
        <v>COFFRAGES POUR LE BETONNAGE</v>
      </c>
      <c r="C817" s="1"/>
      <c r="D817" s="1"/>
    </row>
    <row r="818" spans="1:4" x14ac:dyDescent="0.25">
      <c r="B818" t="str">
        <f>T("   Togo")</f>
        <v xml:space="preserve">   Togo</v>
      </c>
      <c r="C818" s="2">
        <v>78</v>
      </c>
      <c r="D818" s="2">
        <v>195000</v>
      </c>
    </row>
    <row r="819" spans="1:4" s="6" customFormat="1" x14ac:dyDescent="0.25">
      <c r="B819" s="6" t="str">
        <f>T("   Total Monde")</f>
        <v xml:space="preserve">   Total Monde</v>
      </c>
      <c r="C819" s="1">
        <v>78</v>
      </c>
      <c r="D819" s="1">
        <v>195000</v>
      </c>
    </row>
    <row r="820" spans="1:4" s="6" customFormat="1" x14ac:dyDescent="0.25">
      <c r="A820" s="6" t="str">
        <f>T("441890")</f>
        <v>441890</v>
      </c>
      <c r="B820" s="6" t="str">
        <f>T("AUTRES")</f>
        <v>AUTRES</v>
      </c>
      <c r="C820" s="1"/>
      <c r="D820" s="1"/>
    </row>
    <row r="821" spans="1:4" x14ac:dyDescent="0.25">
      <c r="B821" t="str">
        <f>T("   Côte d'Ivoire")</f>
        <v xml:space="preserve">   Côte d'Ivoire</v>
      </c>
      <c r="C821" s="2">
        <v>16300</v>
      </c>
      <c r="D821" s="2">
        <v>2720000</v>
      </c>
    </row>
    <row r="822" spans="1:4" s="6" customFormat="1" x14ac:dyDescent="0.25">
      <c r="B822" s="6" t="str">
        <f>T("   Total Monde")</f>
        <v xml:space="preserve">   Total Monde</v>
      </c>
      <c r="C822" s="1">
        <v>16300</v>
      </c>
      <c r="D822" s="1">
        <v>2720000</v>
      </c>
    </row>
    <row r="823" spans="1:4" s="6" customFormat="1" x14ac:dyDescent="0.25">
      <c r="A823" s="6" t="str">
        <f>T("442090")</f>
        <v>442090</v>
      </c>
      <c r="B823" s="6" t="str">
        <f>T("AUTRES")</f>
        <v>AUTRES</v>
      </c>
      <c r="C823" s="1"/>
      <c r="D823" s="1"/>
    </row>
    <row r="824" spans="1:4" x14ac:dyDescent="0.25">
      <c r="B824" t="str">
        <f>T("   Chine")</f>
        <v xml:space="preserve">   Chine</v>
      </c>
      <c r="C824" s="2">
        <v>5000</v>
      </c>
      <c r="D824" s="2">
        <v>2000000</v>
      </c>
    </row>
    <row r="825" spans="1:4" s="6" customFormat="1" x14ac:dyDescent="0.25">
      <c r="B825" s="6" t="str">
        <f>T("   Total Monde")</f>
        <v xml:space="preserve">   Total Monde</v>
      </c>
      <c r="C825" s="1">
        <v>5000</v>
      </c>
      <c r="D825" s="1">
        <v>2000000</v>
      </c>
    </row>
    <row r="826" spans="1:4" s="6" customFormat="1" x14ac:dyDescent="0.25">
      <c r="A826" s="6" t="str">
        <f>T("442190")</f>
        <v>442190</v>
      </c>
      <c r="B826" s="6" t="str">
        <f>T("AUTRES")</f>
        <v>AUTRES</v>
      </c>
      <c r="C826" s="1"/>
      <c r="D826" s="1"/>
    </row>
    <row r="827" spans="1:4" x14ac:dyDescent="0.25">
      <c r="B827" t="str">
        <f>T("   Côte d'Ivoire")</f>
        <v xml:space="preserve">   Côte d'Ivoire</v>
      </c>
      <c r="C827" s="2">
        <v>3708</v>
      </c>
      <c r="D827" s="2">
        <v>100000</v>
      </c>
    </row>
    <row r="828" spans="1:4" x14ac:dyDescent="0.25">
      <c r="B828" t="str">
        <f>T("   Liban")</f>
        <v xml:space="preserve">   Liban</v>
      </c>
      <c r="C828" s="2">
        <v>46000</v>
      </c>
      <c r="D828" s="2">
        <v>1003000</v>
      </c>
    </row>
    <row r="829" spans="1:4" s="6" customFormat="1" x14ac:dyDescent="0.25">
      <c r="B829" s="6" t="str">
        <f>T("   Total Monde")</f>
        <v xml:space="preserve">   Total Monde</v>
      </c>
      <c r="C829" s="1">
        <v>49708</v>
      </c>
      <c r="D829" s="1">
        <v>1103000</v>
      </c>
    </row>
    <row r="830" spans="1:4" s="6" customFormat="1" x14ac:dyDescent="0.25">
      <c r="A830" s="6" t="str">
        <f>T("460290")</f>
        <v>460290</v>
      </c>
      <c r="B830" s="6" t="str">
        <f>T("AUTRES")</f>
        <v>AUTRES</v>
      </c>
      <c r="C830" s="1"/>
      <c r="D830" s="1"/>
    </row>
    <row r="831" spans="1:4" x14ac:dyDescent="0.25">
      <c r="B831" t="str">
        <f>T("   Espagne")</f>
        <v xml:space="preserve">   Espagne</v>
      </c>
      <c r="C831" s="2">
        <v>2500</v>
      </c>
      <c r="D831" s="2">
        <v>16163590</v>
      </c>
    </row>
    <row r="832" spans="1:4" x14ac:dyDescent="0.25">
      <c r="B832" t="str">
        <f>T("   Gabon")</f>
        <v xml:space="preserve">   Gabon</v>
      </c>
      <c r="C832" s="2">
        <v>500</v>
      </c>
      <c r="D832" s="2">
        <v>420000</v>
      </c>
    </row>
    <row r="833" spans="1:4" s="6" customFormat="1" x14ac:dyDescent="0.25">
      <c r="B833" s="6" t="str">
        <f>T("   Total Monde")</f>
        <v xml:space="preserve">   Total Monde</v>
      </c>
      <c r="C833" s="1">
        <v>3000</v>
      </c>
      <c r="D833" s="1">
        <v>16583590</v>
      </c>
    </row>
    <row r="834" spans="1:4" s="6" customFormat="1" x14ac:dyDescent="0.25">
      <c r="A834" s="6" t="str">
        <f>T("470790")</f>
        <v>470790</v>
      </c>
      <c r="B834" s="6" t="str">
        <f>T("AUTRES, Y COMPRIS LES DECHETS ET REBUTS NON TRIES")</f>
        <v>AUTRES, Y COMPRIS LES DECHETS ET REBUTS NON TRIES</v>
      </c>
      <c r="C834" s="1"/>
      <c r="D834" s="1"/>
    </row>
    <row r="835" spans="1:4" x14ac:dyDescent="0.25">
      <c r="B835" t="str">
        <f>T("   Côte d'Ivoire")</f>
        <v xml:space="preserve">   Côte d'Ivoire</v>
      </c>
      <c r="C835" s="2">
        <v>50000</v>
      </c>
      <c r="D835" s="2">
        <v>1450000</v>
      </c>
    </row>
    <row r="836" spans="1:4" x14ac:dyDescent="0.25">
      <c r="B836" t="str">
        <f>T("   Ghana")</f>
        <v xml:space="preserve">   Ghana</v>
      </c>
      <c r="C836" s="2">
        <v>20000</v>
      </c>
      <c r="D836" s="2">
        <v>450000</v>
      </c>
    </row>
    <row r="837" spans="1:4" x14ac:dyDescent="0.25">
      <c r="B837" t="str">
        <f>T("   Inde")</f>
        <v xml:space="preserve">   Inde</v>
      </c>
      <c r="C837" s="2">
        <v>15000</v>
      </c>
      <c r="D837" s="2">
        <v>750000</v>
      </c>
    </row>
    <row r="838" spans="1:4" s="6" customFormat="1" x14ac:dyDescent="0.25">
      <c r="B838" s="6" t="str">
        <f>T("   Total Monde")</f>
        <v xml:space="preserve">   Total Monde</v>
      </c>
      <c r="C838" s="1">
        <v>85000</v>
      </c>
      <c r="D838" s="1">
        <v>2650000</v>
      </c>
    </row>
    <row r="839" spans="1:4" s="6" customFormat="1" x14ac:dyDescent="0.25">
      <c r="A839" s="6" t="str">
        <f>T("480261")</f>
        <v>480261</v>
      </c>
      <c r="B839" s="6" t="str">
        <f>T("EN ROULEAUX")</f>
        <v>EN ROULEAUX</v>
      </c>
      <c r="C839" s="1"/>
      <c r="D839" s="1"/>
    </row>
    <row r="840" spans="1:4" x14ac:dyDescent="0.25">
      <c r="B840" t="str">
        <f>T("   Royaume-Uni")</f>
        <v xml:space="preserve">   Royaume-Uni</v>
      </c>
      <c r="C840" s="2">
        <v>1</v>
      </c>
      <c r="D840" s="2">
        <v>19701</v>
      </c>
    </row>
    <row r="841" spans="1:4" s="6" customFormat="1" x14ac:dyDescent="0.25">
      <c r="B841" s="6" t="str">
        <f>T("   Total Monde")</f>
        <v xml:space="preserve">   Total Monde</v>
      </c>
      <c r="C841" s="1">
        <v>1</v>
      </c>
      <c r="D841" s="1">
        <v>19701</v>
      </c>
    </row>
    <row r="842" spans="1:4" s="6" customFormat="1" x14ac:dyDescent="0.25">
      <c r="A842" s="6" t="str">
        <f>T("481910")</f>
        <v>481910</v>
      </c>
      <c r="B842" s="6" t="str">
        <f>T("BOITES ET CAISSES EN PAPIER OU CARTON ONDULE")</f>
        <v>BOITES ET CAISSES EN PAPIER OU CARTON ONDULE</v>
      </c>
      <c r="C842" s="1"/>
      <c r="D842" s="1"/>
    </row>
    <row r="843" spans="1:4" x14ac:dyDescent="0.25">
      <c r="B843" t="str">
        <f>T("   Burkina Faso")</f>
        <v xml:space="preserve">   Burkina Faso</v>
      </c>
      <c r="C843" s="2">
        <v>17306</v>
      </c>
      <c r="D843" s="2">
        <v>5902385</v>
      </c>
    </row>
    <row r="844" spans="1:4" x14ac:dyDescent="0.25">
      <c r="B844" t="str">
        <f>T("   Côte d'Ivoire")</f>
        <v xml:space="preserve">   Côte d'Ivoire</v>
      </c>
      <c r="C844" s="2">
        <v>3048</v>
      </c>
      <c r="D844" s="2">
        <v>1283700</v>
      </c>
    </row>
    <row r="845" spans="1:4" x14ac:dyDescent="0.25">
      <c r="B845" t="str">
        <f>T("   Gabon")</f>
        <v xml:space="preserve">   Gabon</v>
      </c>
      <c r="C845" s="2">
        <v>1270</v>
      </c>
      <c r="D845" s="2">
        <v>1050336</v>
      </c>
    </row>
    <row r="846" spans="1:4" x14ac:dyDescent="0.25">
      <c r="B846" t="str">
        <f>T("   Mali")</f>
        <v xml:space="preserve">   Mali</v>
      </c>
      <c r="C846" s="2">
        <v>26638</v>
      </c>
      <c r="D846" s="2">
        <v>10640653</v>
      </c>
    </row>
    <row r="847" spans="1:4" x14ac:dyDescent="0.25">
      <c r="B847" t="str">
        <f>T("   Niger")</f>
        <v xml:space="preserve">   Niger</v>
      </c>
      <c r="C847" s="2">
        <v>14859</v>
      </c>
      <c r="D847" s="2">
        <v>5744702</v>
      </c>
    </row>
    <row r="848" spans="1:4" x14ac:dyDescent="0.25">
      <c r="B848" t="str">
        <f>T("   Sénégal")</f>
        <v xml:space="preserve">   Sénégal</v>
      </c>
      <c r="C848" s="2">
        <v>4176</v>
      </c>
      <c r="D848" s="2">
        <v>2376952</v>
      </c>
    </row>
    <row r="849" spans="1:4" x14ac:dyDescent="0.25">
      <c r="B849" t="str">
        <f>T("   Tchad")</f>
        <v xml:space="preserve">   Tchad</v>
      </c>
      <c r="C849" s="2">
        <v>1983</v>
      </c>
      <c r="D849" s="2">
        <v>426941</v>
      </c>
    </row>
    <row r="850" spans="1:4" s="6" customFormat="1" x14ac:dyDescent="0.25">
      <c r="B850" s="6" t="str">
        <f>T("   Total Monde")</f>
        <v xml:space="preserve">   Total Monde</v>
      </c>
      <c r="C850" s="1">
        <v>69280</v>
      </c>
      <c r="D850" s="1">
        <v>27425669</v>
      </c>
    </row>
    <row r="851" spans="1:4" s="6" customFormat="1" x14ac:dyDescent="0.25">
      <c r="A851" s="6" t="str">
        <f>T("481920")</f>
        <v>481920</v>
      </c>
      <c r="B851" s="6" t="str">
        <f>T("BOITES ET CARTONNAGES, PLIANTS, EN PAPIER OU CARTON NON ONDULE")</f>
        <v>BOITES ET CARTONNAGES, PLIANTS, EN PAPIER OU CARTON NON ONDULE</v>
      </c>
      <c r="C851" s="1"/>
      <c r="D851" s="1"/>
    </row>
    <row r="852" spans="1:4" x14ac:dyDescent="0.25">
      <c r="B852" t="str">
        <f>T("   Belgique")</f>
        <v xml:space="preserve">   Belgique</v>
      </c>
      <c r="C852" s="2">
        <v>3212</v>
      </c>
      <c r="D852" s="2">
        <v>3082500</v>
      </c>
    </row>
    <row r="853" spans="1:4" x14ac:dyDescent="0.25">
      <c r="B853" t="str">
        <f>T("   Espagne")</f>
        <v xml:space="preserve">   Espagne</v>
      </c>
      <c r="C853" s="2">
        <v>12682</v>
      </c>
      <c r="D853" s="2">
        <v>15818873</v>
      </c>
    </row>
    <row r="854" spans="1:4" x14ac:dyDescent="0.25">
      <c r="B854" t="str">
        <f>T("   France")</f>
        <v xml:space="preserve">   France</v>
      </c>
      <c r="C854" s="2">
        <v>45260</v>
      </c>
      <c r="D854" s="2">
        <v>8940000</v>
      </c>
    </row>
    <row r="855" spans="1:4" x14ac:dyDescent="0.25">
      <c r="B855" t="str">
        <f>T("   Malaisie")</f>
        <v xml:space="preserve">   Malaisie</v>
      </c>
      <c r="C855" s="2">
        <v>4260</v>
      </c>
      <c r="D855" s="2">
        <v>4088000</v>
      </c>
    </row>
    <row r="856" spans="1:4" x14ac:dyDescent="0.25">
      <c r="B856" t="str">
        <f>T("   Pays-bas")</f>
        <v xml:space="preserve">   Pays-bas</v>
      </c>
      <c r="C856" s="2">
        <v>21242</v>
      </c>
      <c r="D856" s="2">
        <v>21635206</v>
      </c>
    </row>
    <row r="857" spans="1:4" x14ac:dyDescent="0.25">
      <c r="B857" t="str">
        <f>T("   Togo")</f>
        <v xml:space="preserve">   Togo</v>
      </c>
      <c r="C857" s="2">
        <v>670</v>
      </c>
      <c r="D857" s="2">
        <v>837317</v>
      </c>
    </row>
    <row r="858" spans="1:4" s="6" customFormat="1" x14ac:dyDescent="0.25">
      <c r="B858" s="6" t="str">
        <f>T("   Total Monde")</f>
        <v xml:space="preserve">   Total Monde</v>
      </c>
      <c r="C858" s="1">
        <v>87326</v>
      </c>
      <c r="D858" s="1">
        <v>54401896</v>
      </c>
    </row>
    <row r="859" spans="1:4" s="6" customFormat="1" x14ac:dyDescent="0.25">
      <c r="A859" s="6" t="str">
        <f>T("481940")</f>
        <v>481940</v>
      </c>
      <c r="B859" s="6" t="str">
        <f>T("AUTRES SACS; SACHETS, POCHETTES (AUTRES QUE CELLES POUR DISQUES) ET CORNETS")</f>
        <v>AUTRES SACS; SACHETS, POCHETTES (AUTRES QUE CELLES POUR DISQUES) ET CORNETS</v>
      </c>
      <c r="C859" s="1"/>
      <c r="D859" s="1"/>
    </row>
    <row r="860" spans="1:4" x14ac:dyDescent="0.25">
      <c r="B860" t="str">
        <f>T("   France")</f>
        <v xml:space="preserve">   France</v>
      </c>
      <c r="C860" s="2">
        <v>716.3</v>
      </c>
      <c r="D860" s="2">
        <v>1862190</v>
      </c>
    </row>
    <row r="861" spans="1:4" s="6" customFormat="1" x14ac:dyDescent="0.25">
      <c r="B861" s="6" t="str">
        <f>T("   Total Monde")</f>
        <v xml:space="preserve">   Total Monde</v>
      </c>
      <c r="C861" s="1">
        <v>716.3</v>
      </c>
      <c r="D861" s="1">
        <v>1862190</v>
      </c>
    </row>
    <row r="862" spans="1:4" s="6" customFormat="1" x14ac:dyDescent="0.25">
      <c r="A862" s="6" t="str">
        <f>T("481960")</f>
        <v>481960</v>
      </c>
      <c r="B862" s="6" t="str">
        <f>T("CARTONNAGES DE BUREAU, DE MAGASIN OU SIMILAIRES")</f>
        <v>CARTONNAGES DE BUREAU, DE MAGASIN OU SIMILAIRES</v>
      </c>
      <c r="C862" s="1"/>
      <c r="D862" s="1"/>
    </row>
    <row r="863" spans="1:4" x14ac:dyDescent="0.25">
      <c r="B863" t="str">
        <f>T("   France")</f>
        <v xml:space="preserve">   France</v>
      </c>
      <c r="C863" s="2">
        <v>2975</v>
      </c>
      <c r="D863" s="2">
        <v>2460433</v>
      </c>
    </row>
    <row r="864" spans="1:4" x14ac:dyDescent="0.25">
      <c r="B864" t="str">
        <f>T("   Gabon")</f>
        <v xml:space="preserve">   Gabon</v>
      </c>
      <c r="C864" s="2">
        <v>1549</v>
      </c>
      <c r="D864" s="2">
        <v>869764</v>
      </c>
    </row>
    <row r="865" spans="1:4" x14ac:dyDescent="0.25">
      <c r="B865" t="str">
        <f>T("   Niger")</f>
        <v xml:space="preserve">   Niger</v>
      </c>
      <c r="C865" s="2">
        <v>5945</v>
      </c>
      <c r="D865" s="2">
        <v>3750282</v>
      </c>
    </row>
    <row r="866" spans="1:4" x14ac:dyDescent="0.25">
      <c r="B866" t="str">
        <f>T("   Nigéria")</f>
        <v xml:space="preserve">   Nigéria</v>
      </c>
      <c r="C866" s="2">
        <v>2784</v>
      </c>
      <c r="D866" s="2">
        <v>1979852</v>
      </c>
    </row>
    <row r="867" spans="1:4" s="6" customFormat="1" x14ac:dyDescent="0.25">
      <c r="B867" s="6" t="str">
        <f>T("   Total Monde")</f>
        <v xml:space="preserve">   Total Monde</v>
      </c>
      <c r="C867" s="1">
        <v>13253</v>
      </c>
      <c r="D867" s="1">
        <v>9060331</v>
      </c>
    </row>
    <row r="868" spans="1:4" s="6" customFormat="1" x14ac:dyDescent="0.25">
      <c r="A868" s="6" t="str">
        <f>T("482010")</f>
        <v>482010</v>
      </c>
      <c r="B868" s="6" t="str">
        <f>T("REGISTRES, LIVRES COMPTABLES, CARNETS (DE NOTES, DE COMMANDES, DE QUITTANCES), BLOCS")</f>
        <v>REGISTRES, LIVRES COMPTABLES, CARNETS (DE NOTES, DE COMMANDES, DE QUITTANCES), BLOCS</v>
      </c>
      <c r="C868" s="1"/>
      <c r="D868" s="1"/>
    </row>
    <row r="869" spans="1:4" x14ac:dyDescent="0.25">
      <c r="B869" t="str">
        <f>T("   Nigéria")</f>
        <v xml:space="preserve">   Nigéria</v>
      </c>
      <c r="C869" s="2">
        <v>3000</v>
      </c>
      <c r="D869" s="2">
        <v>2777400</v>
      </c>
    </row>
    <row r="870" spans="1:4" x14ac:dyDescent="0.25">
      <c r="B870" t="str">
        <f>T("   Sénégal")</f>
        <v xml:space="preserve">   Sénégal</v>
      </c>
      <c r="C870" s="2">
        <v>560</v>
      </c>
      <c r="D870" s="2">
        <v>799550</v>
      </c>
    </row>
    <row r="871" spans="1:4" s="6" customFormat="1" x14ac:dyDescent="0.25">
      <c r="B871" s="6" t="str">
        <f>T("   Total Monde")</f>
        <v xml:space="preserve">   Total Monde</v>
      </c>
      <c r="C871" s="1">
        <v>3560</v>
      </c>
      <c r="D871" s="1">
        <v>3576950</v>
      </c>
    </row>
    <row r="872" spans="1:4" s="6" customFormat="1" x14ac:dyDescent="0.25">
      <c r="A872" s="6" t="str">
        <f>T("482020")</f>
        <v>482020</v>
      </c>
      <c r="B872" s="6" t="str">
        <f>T("Cahiers")</f>
        <v>Cahiers</v>
      </c>
      <c r="C872" s="1"/>
      <c r="D872" s="1"/>
    </row>
    <row r="873" spans="1:4" x14ac:dyDescent="0.25">
      <c r="B873" t="str">
        <f>T("   Togo")</f>
        <v xml:space="preserve">   Togo</v>
      </c>
      <c r="C873" s="2">
        <v>14776</v>
      </c>
      <c r="D873" s="2">
        <v>3194994</v>
      </c>
    </row>
    <row r="874" spans="1:4" s="6" customFormat="1" x14ac:dyDescent="0.25">
      <c r="B874" s="6" t="str">
        <f>T("   Total Monde")</f>
        <v xml:space="preserve">   Total Monde</v>
      </c>
      <c r="C874" s="1">
        <v>14776</v>
      </c>
      <c r="D874" s="1">
        <v>3194994</v>
      </c>
    </row>
    <row r="875" spans="1:4" s="6" customFormat="1" x14ac:dyDescent="0.25">
      <c r="A875" s="6" t="str">
        <f>T("482320")</f>
        <v>482320</v>
      </c>
      <c r="B875" s="6" t="str">
        <f>T("PAPIER ET CARTONFILTRE")</f>
        <v>PAPIER ET CARTONFILTRE</v>
      </c>
      <c r="C875" s="1"/>
      <c r="D875" s="1"/>
    </row>
    <row r="876" spans="1:4" x14ac:dyDescent="0.25">
      <c r="B876" t="str">
        <f>T("   Gabon")</f>
        <v xml:space="preserve">   Gabon</v>
      </c>
      <c r="C876" s="2">
        <v>1</v>
      </c>
      <c r="D876" s="2">
        <v>57020</v>
      </c>
    </row>
    <row r="877" spans="1:4" s="6" customFormat="1" x14ac:dyDescent="0.25">
      <c r="B877" s="6" t="str">
        <f>T("   Total Monde")</f>
        <v xml:space="preserve">   Total Monde</v>
      </c>
      <c r="C877" s="1">
        <v>1</v>
      </c>
      <c r="D877" s="1">
        <v>57020</v>
      </c>
    </row>
    <row r="878" spans="1:4" s="6" customFormat="1" x14ac:dyDescent="0.25">
      <c r="A878" s="6" t="str">
        <f>T("490110")</f>
        <v>490110</v>
      </c>
      <c r="B878" s="6" t="str">
        <f>T("EN FEUILLETS ISOLES, MEME PLIES")</f>
        <v>EN FEUILLETS ISOLES, MEME PLIES</v>
      </c>
      <c r="C878" s="1"/>
      <c r="D878" s="1"/>
    </row>
    <row r="879" spans="1:4" x14ac:dyDescent="0.25">
      <c r="B879" t="str">
        <f>T("   Gabon")</f>
        <v xml:space="preserve">   Gabon</v>
      </c>
      <c r="C879" s="2">
        <v>1</v>
      </c>
      <c r="D879" s="2">
        <v>22435</v>
      </c>
    </row>
    <row r="880" spans="1:4" s="6" customFormat="1" x14ac:dyDescent="0.25">
      <c r="B880" s="6" t="str">
        <f>T("   Total Monde")</f>
        <v xml:space="preserve">   Total Monde</v>
      </c>
      <c r="C880" s="1">
        <v>1</v>
      </c>
      <c r="D880" s="1">
        <v>22435</v>
      </c>
    </row>
    <row r="881" spans="1:4" s="6" customFormat="1" x14ac:dyDescent="0.25">
      <c r="A881" s="6" t="str">
        <f>T("490199")</f>
        <v>490199</v>
      </c>
      <c r="B881" s="6" t="str">
        <f>T("AUTRES")</f>
        <v>AUTRES</v>
      </c>
      <c r="C881" s="1"/>
      <c r="D881" s="1"/>
    </row>
    <row r="882" spans="1:4" x14ac:dyDescent="0.25">
      <c r="B882" t="str">
        <f>T("   Belgique")</f>
        <v xml:space="preserve">   Belgique</v>
      </c>
      <c r="C882" s="2">
        <v>2000</v>
      </c>
      <c r="D882" s="2">
        <v>2500000</v>
      </c>
    </row>
    <row r="883" spans="1:4" x14ac:dyDescent="0.25">
      <c r="B883" t="str">
        <f>T("   Allemagne")</f>
        <v xml:space="preserve">   Allemagne</v>
      </c>
      <c r="C883" s="2">
        <v>50</v>
      </c>
      <c r="D883" s="2">
        <v>150000</v>
      </c>
    </row>
    <row r="884" spans="1:4" x14ac:dyDescent="0.25">
      <c r="B884" t="str">
        <f>T("   Danemark")</f>
        <v xml:space="preserve">   Danemark</v>
      </c>
      <c r="C884" s="2">
        <v>3000</v>
      </c>
      <c r="D884" s="2">
        <v>2500000</v>
      </c>
    </row>
    <row r="885" spans="1:4" x14ac:dyDescent="0.25">
      <c r="B885" t="str">
        <f>T("   Ethiopie")</f>
        <v xml:space="preserve">   Ethiopie</v>
      </c>
      <c r="C885" s="2">
        <v>2000</v>
      </c>
      <c r="D885" s="2">
        <v>2000000</v>
      </c>
    </row>
    <row r="886" spans="1:4" x14ac:dyDescent="0.25">
      <c r="B886" t="str">
        <f>T("   France")</f>
        <v xml:space="preserve">   France</v>
      </c>
      <c r="C886" s="2">
        <v>315</v>
      </c>
      <c r="D886" s="2">
        <v>758254</v>
      </c>
    </row>
    <row r="887" spans="1:4" x14ac:dyDescent="0.25">
      <c r="B887" t="str">
        <f>T("   Gabon")</f>
        <v xml:space="preserve">   Gabon</v>
      </c>
      <c r="C887" s="2">
        <v>1008</v>
      </c>
      <c r="D887" s="2">
        <v>5120000</v>
      </c>
    </row>
    <row r="888" spans="1:4" x14ac:dyDescent="0.25">
      <c r="B888" t="str">
        <f>T("   Ghana")</f>
        <v xml:space="preserve">   Ghana</v>
      </c>
      <c r="C888" s="2">
        <v>2050</v>
      </c>
      <c r="D888" s="2">
        <v>2100000</v>
      </c>
    </row>
    <row r="889" spans="1:4" x14ac:dyDescent="0.25">
      <c r="B889" t="str">
        <f>T("   Italie")</f>
        <v xml:space="preserve">   Italie</v>
      </c>
      <c r="C889" s="2">
        <v>2000</v>
      </c>
      <c r="D889" s="2">
        <v>2000000</v>
      </c>
    </row>
    <row r="890" spans="1:4" x14ac:dyDescent="0.25">
      <c r="B890" t="str">
        <f>T("   Japon")</f>
        <v xml:space="preserve">   Japon</v>
      </c>
      <c r="C890" s="2">
        <v>100</v>
      </c>
      <c r="D890" s="2">
        <v>200000</v>
      </c>
    </row>
    <row r="891" spans="1:4" x14ac:dyDescent="0.25">
      <c r="B891" t="str">
        <f>T("   Sénégal")</f>
        <v xml:space="preserve">   Sénégal</v>
      </c>
      <c r="C891" s="2">
        <v>950</v>
      </c>
      <c r="D891" s="2">
        <v>824400</v>
      </c>
    </row>
    <row r="892" spans="1:4" x14ac:dyDescent="0.25">
      <c r="B892" t="str">
        <f>T("   Tanzanie")</f>
        <v xml:space="preserve">   Tanzanie</v>
      </c>
      <c r="C892" s="2">
        <v>530</v>
      </c>
      <c r="D892" s="2">
        <v>400000</v>
      </c>
    </row>
    <row r="893" spans="1:4" x14ac:dyDescent="0.25">
      <c r="B893" t="str">
        <f>T("   Etats-Unis")</f>
        <v xml:space="preserve">   Etats-Unis</v>
      </c>
      <c r="C893" s="2">
        <v>25</v>
      </c>
      <c r="D893" s="2">
        <v>150000</v>
      </c>
    </row>
    <row r="894" spans="1:4" s="6" customFormat="1" x14ac:dyDescent="0.25">
      <c r="B894" s="6" t="str">
        <f>T("   Total Monde")</f>
        <v xml:space="preserve">   Total Monde</v>
      </c>
      <c r="C894" s="1">
        <v>14028</v>
      </c>
      <c r="D894" s="1">
        <v>18702654</v>
      </c>
    </row>
    <row r="895" spans="1:4" s="6" customFormat="1" x14ac:dyDescent="0.25">
      <c r="A895" s="6" t="str">
        <f>T("490700")</f>
        <v>490700</v>
      </c>
      <c r="B895" s="6" t="str">
        <f>T("TIMBRESPOSTE, TIMBRES FISCAUX ET ANALOGUES, NON OBLITERES, AYANT COURS OU DESTINES A A")</f>
        <v>TIMBRESPOSTE, TIMBRES FISCAUX ET ANALOGUES, NON OBLITERES, AYANT COURS OU DESTINES A A</v>
      </c>
      <c r="C895" s="1"/>
      <c r="D895" s="1"/>
    </row>
    <row r="896" spans="1:4" x14ac:dyDescent="0.25">
      <c r="B896" t="str">
        <f>T("   Burkina Faso")</f>
        <v xml:space="preserve">   Burkina Faso</v>
      </c>
      <c r="C896" s="2">
        <v>7690</v>
      </c>
      <c r="D896" s="2">
        <v>90900000</v>
      </c>
    </row>
    <row r="897" spans="1:4" x14ac:dyDescent="0.25">
      <c r="B897" t="str">
        <f>T("   Côte d'Ivoire")</f>
        <v xml:space="preserve">   Côte d'Ivoire</v>
      </c>
      <c r="C897" s="2">
        <v>9869</v>
      </c>
      <c r="D897" s="2">
        <v>20800000</v>
      </c>
    </row>
    <row r="898" spans="1:4" x14ac:dyDescent="0.25">
      <c r="B898" t="str">
        <f>T("   Niger")</f>
        <v xml:space="preserve">   Niger</v>
      </c>
      <c r="C898" s="2">
        <v>3720</v>
      </c>
      <c r="D898" s="2">
        <v>8000000</v>
      </c>
    </row>
    <row r="899" spans="1:4" s="6" customFormat="1" x14ac:dyDescent="0.25">
      <c r="B899" s="6" t="str">
        <f>T("   Total Monde")</f>
        <v xml:space="preserve">   Total Monde</v>
      </c>
      <c r="C899" s="1">
        <v>21279</v>
      </c>
      <c r="D899" s="1">
        <v>119700000</v>
      </c>
    </row>
    <row r="900" spans="1:4" s="6" customFormat="1" x14ac:dyDescent="0.25">
      <c r="A900" s="6" t="str">
        <f>T("491000")</f>
        <v>491000</v>
      </c>
      <c r="B900" s="6" t="str">
        <f>T("CALENDRIERS DE TOUS GENRES, IMPRIMES, Y COMPRIS LES BLOCS DE CALENDRIERS A EFFEUILLER.")</f>
        <v>CALENDRIERS DE TOUS GENRES, IMPRIMES, Y COMPRIS LES BLOCS DE CALENDRIERS A EFFEUILLER.</v>
      </c>
      <c r="C900" s="1"/>
      <c r="D900" s="1"/>
    </row>
    <row r="901" spans="1:4" x14ac:dyDescent="0.25">
      <c r="B901" t="str">
        <f>T("   Sénégal")</f>
        <v xml:space="preserve">   Sénégal</v>
      </c>
      <c r="C901" s="2">
        <v>350</v>
      </c>
      <c r="D901" s="2">
        <v>900000</v>
      </c>
    </row>
    <row r="902" spans="1:4" s="6" customFormat="1" x14ac:dyDescent="0.25">
      <c r="B902" s="6" t="str">
        <f>T("   Total Monde")</f>
        <v xml:space="preserve">   Total Monde</v>
      </c>
      <c r="C902" s="1">
        <v>350</v>
      </c>
      <c r="D902" s="1">
        <v>900000</v>
      </c>
    </row>
    <row r="903" spans="1:4" s="6" customFormat="1" x14ac:dyDescent="0.25">
      <c r="A903" s="6" t="str">
        <f>T("491110")</f>
        <v>491110</v>
      </c>
      <c r="B903" s="6" t="str">
        <f>T("IMPRIMES PUBLICITAIRES, CATALOGUES COMMERCIAUX ET SIMILAIRES")</f>
        <v>IMPRIMES PUBLICITAIRES, CATALOGUES COMMERCIAUX ET SIMILAIRES</v>
      </c>
      <c r="C903" s="1"/>
      <c r="D903" s="1"/>
    </row>
    <row r="904" spans="1:4" x14ac:dyDescent="0.25">
      <c r="B904" t="str">
        <f>T("   Burkina Faso")</f>
        <v xml:space="preserve">   Burkina Faso</v>
      </c>
      <c r="C904" s="2">
        <v>626</v>
      </c>
      <c r="D904" s="2">
        <v>611520</v>
      </c>
    </row>
    <row r="905" spans="1:4" x14ac:dyDescent="0.25">
      <c r="B905" t="str">
        <f>T("   Côte d'Ivoire")</f>
        <v xml:space="preserve">   Côte d'Ivoire</v>
      </c>
      <c r="C905" s="2">
        <v>1965</v>
      </c>
      <c r="D905" s="2">
        <v>1327924</v>
      </c>
    </row>
    <row r="906" spans="1:4" x14ac:dyDescent="0.25">
      <c r="B906" t="str">
        <f>T("   Allemagne")</f>
        <v xml:space="preserve">   Allemagne</v>
      </c>
      <c r="C906" s="2">
        <v>3.4</v>
      </c>
      <c r="D906" s="2">
        <v>116813</v>
      </c>
    </row>
    <row r="907" spans="1:4" x14ac:dyDescent="0.25">
      <c r="B907" t="str">
        <f>T("   Danemark")</f>
        <v xml:space="preserve">   Danemark</v>
      </c>
      <c r="C907" s="2">
        <v>1602.5</v>
      </c>
      <c r="D907" s="2">
        <v>734278</v>
      </c>
    </row>
    <row r="908" spans="1:4" x14ac:dyDescent="0.25">
      <c r="B908" t="str">
        <f>T("   Niger")</f>
        <v xml:space="preserve">   Niger</v>
      </c>
      <c r="C908" s="2">
        <v>313</v>
      </c>
      <c r="D908" s="2">
        <v>150594</v>
      </c>
    </row>
    <row r="909" spans="1:4" x14ac:dyDescent="0.25">
      <c r="B909" t="str">
        <f>T("   Etats-Unis")</f>
        <v xml:space="preserve">   Etats-Unis</v>
      </c>
      <c r="C909" s="2">
        <v>1000</v>
      </c>
      <c r="D909" s="2">
        <v>248948</v>
      </c>
    </row>
    <row r="910" spans="1:4" s="6" customFormat="1" x14ac:dyDescent="0.25">
      <c r="B910" s="6" t="str">
        <f>T("   Total Monde")</f>
        <v xml:space="preserve">   Total Monde</v>
      </c>
      <c r="C910" s="1">
        <v>5509.9</v>
      </c>
      <c r="D910" s="1">
        <v>3190077</v>
      </c>
    </row>
    <row r="911" spans="1:4" s="6" customFormat="1" x14ac:dyDescent="0.25">
      <c r="A911" s="6" t="str">
        <f>T("491191")</f>
        <v>491191</v>
      </c>
      <c r="B911" s="6" t="str">
        <f>T("IMAGES, GRAVURES ET PHOTOGRAPHIES")</f>
        <v>IMAGES, GRAVURES ET PHOTOGRAPHIES</v>
      </c>
      <c r="C911" s="1"/>
      <c r="D911" s="1"/>
    </row>
    <row r="912" spans="1:4" x14ac:dyDescent="0.25">
      <c r="B912" t="str">
        <f>T("   Royaume-Uni")</f>
        <v xml:space="preserve">   Royaume-Uni</v>
      </c>
      <c r="C912" s="2">
        <v>32</v>
      </c>
      <c r="D912" s="2">
        <v>2401049</v>
      </c>
    </row>
    <row r="913" spans="1:4" s="6" customFormat="1" x14ac:dyDescent="0.25">
      <c r="B913" s="6" t="str">
        <f>T("   Total Monde")</f>
        <v xml:space="preserve">   Total Monde</v>
      </c>
      <c r="C913" s="1">
        <v>32</v>
      </c>
      <c r="D913" s="1">
        <v>2401049</v>
      </c>
    </row>
    <row r="914" spans="1:4" s="6" customFormat="1" x14ac:dyDescent="0.25">
      <c r="A914" s="6" t="str">
        <f>T("491199")</f>
        <v>491199</v>
      </c>
      <c r="B914" s="6" t="str">
        <f>T("AUTRES")</f>
        <v>AUTRES</v>
      </c>
      <c r="C914" s="1"/>
      <c r="D914" s="1"/>
    </row>
    <row r="915" spans="1:4" x14ac:dyDescent="0.25">
      <c r="B915" t="str">
        <f>T("   Canada")</f>
        <v xml:space="preserve">   Canada</v>
      </c>
      <c r="C915" s="2">
        <v>9</v>
      </c>
      <c r="D915" s="2">
        <v>641900</v>
      </c>
    </row>
    <row r="916" spans="1:4" x14ac:dyDescent="0.25">
      <c r="B916" t="str">
        <f>T("   Nigéria")</f>
        <v xml:space="preserve">   Nigéria</v>
      </c>
      <c r="C916" s="2">
        <v>24200</v>
      </c>
      <c r="D916" s="2">
        <v>60112194</v>
      </c>
    </row>
    <row r="917" spans="1:4" x14ac:dyDescent="0.25">
      <c r="B917" t="str">
        <f>T("   Afrique du Sud")</f>
        <v xml:space="preserve">   Afrique du Sud</v>
      </c>
      <c r="C917" s="2">
        <v>13.5</v>
      </c>
      <c r="D917" s="2">
        <v>717060</v>
      </c>
    </row>
    <row r="918" spans="1:4" s="6" customFormat="1" x14ac:dyDescent="0.25">
      <c r="B918" s="6" t="str">
        <f>T("   Total Monde")</f>
        <v xml:space="preserve">   Total Monde</v>
      </c>
      <c r="C918" s="1">
        <v>24222.5</v>
      </c>
      <c r="D918" s="1">
        <v>61471154</v>
      </c>
    </row>
    <row r="919" spans="1:4" s="6" customFormat="1" x14ac:dyDescent="0.25">
      <c r="A919" s="6" t="str">
        <f>T("520100")</f>
        <v>520100</v>
      </c>
      <c r="B919" s="6" t="str">
        <f>T("COTON, NON CARDE NI PEIGNE.")</f>
        <v>COTON, NON CARDE NI PEIGNE.</v>
      </c>
      <c r="C919" s="1"/>
      <c r="D919" s="1"/>
    </row>
    <row r="920" spans="1:4" x14ac:dyDescent="0.25">
      <c r="B920" t="str">
        <f>T("   Bangladesh")</f>
        <v xml:space="preserve">   Bangladesh</v>
      </c>
      <c r="C920" s="2">
        <v>20060307</v>
      </c>
      <c r="D920" s="2">
        <v>18437863982</v>
      </c>
    </row>
    <row r="921" spans="1:4" x14ac:dyDescent="0.25">
      <c r="B921" t="str">
        <f>T("   Belgique")</f>
        <v xml:space="preserve">   Belgique</v>
      </c>
      <c r="C921" s="2">
        <v>1260204</v>
      </c>
      <c r="D921" s="2">
        <v>704512658</v>
      </c>
    </row>
    <row r="922" spans="1:4" x14ac:dyDescent="0.25">
      <c r="B922" t="str">
        <f>T("   Brésil")</f>
        <v xml:space="preserve">   Brésil</v>
      </c>
      <c r="C922" s="2">
        <v>484161</v>
      </c>
      <c r="D922" s="2">
        <v>459934199</v>
      </c>
    </row>
    <row r="923" spans="1:4" x14ac:dyDescent="0.25">
      <c r="B923" t="str">
        <f>T("   Suisse")</f>
        <v xml:space="preserve">   Suisse</v>
      </c>
      <c r="C923" s="2">
        <v>1387006</v>
      </c>
      <c r="D923" s="2">
        <v>1348035478</v>
      </c>
    </row>
    <row r="924" spans="1:4" x14ac:dyDescent="0.25">
      <c r="B924" t="str">
        <f>T("   Chine")</f>
        <v xml:space="preserve">   Chine</v>
      </c>
      <c r="C924" s="2">
        <v>34292163</v>
      </c>
      <c r="D924" s="2">
        <v>30072629257</v>
      </c>
    </row>
    <row r="925" spans="1:4" x14ac:dyDescent="0.25">
      <c r="B925" t="str">
        <f>T("   Colombie")</f>
        <v xml:space="preserve">   Colombie</v>
      </c>
      <c r="C925" s="2">
        <v>185851</v>
      </c>
      <c r="D925" s="2">
        <v>115230106</v>
      </c>
    </row>
    <row r="926" spans="1:4" x14ac:dyDescent="0.25">
      <c r="B926" t="str">
        <f>T("   Allemagne")</f>
        <v xml:space="preserve">   Allemagne</v>
      </c>
      <c r="C926" s="2">
        <v>576102</v>
      </c>
      <c r="D926" s="2">
        <v>390877951</v>
      </c>
    </row>
    <row r="927" spans="1:4" x14ac:dyDescent="0.25">
      <c r="B927" t="str">
        <f>T("   Egypte")</f>
        <v xml:space="preserve">   Egypte</v>
      </c>
      <c r="C927" s="2">
        <v>3016123</v>
      </c>
      <c r="D927" s="2">
        <v>2589363428</v>
      </c>
    </row>
    <row r="928" spans="1:4" x14ac:dyDescent="0.25">
      <c r="B928" t="str">
        <f>T("   Espagne")</f>
        <v xml:space="preserve">   Espagne</v>
      </c>
      <c r="C928" s="2">
        <v>438818</v>
      </c>
      <c r="D928" s="2">
        <v>409404866</v>
      </c>
    </row>
    <row r="929" spans="1:4" x14ac:dyDescent="0.25">
      <c r="B929" t="str">
        <f>T("   France")</f>
        <v xml:space="preserve">   France</v>
      </c>
      <c r="C929" s="2">
        <v>1632760</v>
      </c>
      <c r="D929" s="2">
        <v>1142696117</v>
      </c>
    </row>
    <row r="930" spans="1:4" x14ac:dyDescent="0.25">
      <c r="B930" t="str">
        <f>T("   Royaume-Uni")</f>
        <v xml:space="preserve">   Royaume-Uni</v>
      </c>
      <c r="C930" s="2">
        <v>299276</v>
      </c>
      <c r="D930" s="2">
        <v>276330998</v>
      </c>
    </row>
    <row r="931" spans="1:4" x14ac:dyDescent="0.25">
      <c r="B931" t="str">
        <f>T("   Indonésie")</f>
        <v xml:space="preserve">   Indonésie</v>
      </c>
      <c r="C931" s="2">
        <v>15363161</v>
      </c>
      <c r="D931" s="2">
        <v>12764175589</v>
      </c>
    </row>
    <row r="932" spans="1:4" x14ac:dyDescent="0.25">
      <c r="B932" t="str">
        <f>T("   Inde")</f>
        <v xml:space="preserve">   Inde</v>
      </c>
      <c r="C932" s="2">
        <v>6630324</v>
      </c>
      <c r="D932" s="2">
        <v>5819098216</v>
      </c>
    </row>
    <row r="933" spans="1:4" x14ac:dyDescent="0.25">
      <c r="B933" t="str">
        <f>T("   Maroc")</f>
        <v xml:space="preserve">   Maroc</v>
      </c>
      <c r="C933" s="2">
        <v>465523</v>
      </c>
      <c r="D933" s="2">
        <v>331961008</v>
      </c>
    </row>
    <row r="934" spans="1:4" x14ac:dyDescent="0.25">
      <c r="B934" t="str">
        <f>T("   Monaco")</f>
        <v xml:space="preserve">   Monaco</v>
      </c>
      <c r="C934" s="2">
        <v>119781</v>
      </c>
      <c r="D934" s="2">
        <v>104209439</v>
      </c>
    </row>
    <row r="935" spans="1:4" x14ac:dyDescent="0.25">
      <c r="B935" t="str">
        <f>T("   Malaisie")</f>
        <v xml:space="preserve">   Malaisie</v>
      </c>
      <c r="C935" s="2">
        <v>10182857</v>
      </c>
      <c r="D935" s="2">
        <v>9085812542</v>
      </c>
    </row>
    <row r="936" spans="1:4" x14ac:dyDescent="0.25">
      <c r="B936" t="str">
        <f>T("   Portugal")</f>
        <v xml:space="preserve">   Portugal</v>
      </c>
      <c r="C936" s="2">
        <v>1673398</v>
      </c>
      <c r="D936" s="2">
        <v>1359965828</v>
      </c>
    </row>
    <row r="937" spans="1:4" x14ac:dyDescent="0.25">
      <c r="B937" t="str">
        <f>T("   Thaïlande")</f>
        <v xml:space="preserve">   Thaïlande</v>
      </c>
      <c r="C937" s="2">
        <v>1663553</v>
      </c>
      <c r="D937" s="2">
        <v>1553503379</v>
      </c>
    </row>
    <row r="938" spans="1:4" x14ac:dyDescent="0.25">
      <c r="B938" t="str">
        <f>T("   Tunisie")</f>
        <v xml:space="preserve">   Tunisie</v>
      </c>
      <c r="C938" s="2">
        <v>399747</v>
      </c>
      <c r="D938" s="2">
        <v>369963054</v>
      </c>
    </row>
    <row r="939" spans="1:4" x14ac:dyDescent="0.25">
      <c r="B939" t="str">
        <f>T("   Taïwan, Province de Chine")</f>
        <v xml:space="preserve">   Taïwan, Province de Chine</v>
      </c>
      <c r="C939" s="2">
        <v>2087506</v>
      </c>
      <c r="D939" s="2">
        <v>1284446403</v>
      </c>
    </row>
    <row r="940" spans="1:4" x14ac:dyDescent="0.25">
      <c r="B940" t="str">
        <f>T("   Vietnam")</f>
        <v xml:space="preserve">   Vietnam</v>
      </c>
      <c r="C940" s="2">
        <v>11368508</v>
      </c>
      <c r="D940" s="2">
        <v>10078793842</v>
      </c>
    </row>
    <row r="941" spans="1:4" s="6" customFormat="1" x14ac:dyDescent="0.25">
      <c r="B941" s="6" t="str">
        <f>T("   Total Monde")</f>
        <v xml:space="preserve">   Total Monde</v>
      </c>
      <c r="C941" s="1">
        <v>113587129</v>
      </c>
      <c r="D941" s="1">
        <v>98698808340</v>
      </c>
    </row>
    <row r="942" spans="1:4" s="6" customFormat="1" x14ac:dyDescent="0.25">
      <c r="A942" s="6" t="str">
        <f>T("520299")</f>
        <v>520299</v>
      </c>
      <c r="B942" s="6" t="str">
        <f>T("AUTRES")</f>
        <v>AUTRES</v>
      </c>
      <c r="C942" s="1"/>
      <c r="D942" s="1"/>
    </row>
    <row r="943" spans="1:4" x14ac:dyDescent="0.25">
      <c r="B943" t="str">
        <f>T("   Belgique")</f>
        <v xml:space="preserve">   Belgique</v>
      </c>
      <c r="C943" s="2">
        <v>75000</v>
      </c>
      <c r="D943" s="2">
        <v>1250000</v>
      </c>
    </row>
    <row r="944" spans="1:4" x14ac:dyDescent="0.25">
      <c r="B944" t="str">
        <f>T("   Indonésie")</f>
        <v xml:space="preserve">   Indonésie</v>
      </c>
      <c r="C944" s="2">
        <v>119077</v>
      </c>
      <c r="D944" s="2">
        <v>71446200</v>
      </c>
    </row>
    <row r="945" spans="1:4" x14ac:dyDescent="0.25">
      <c r="B945" t="str">
        <f>T("   Inde")</f>
        <v xml:space="preserve">   Inde</v>
      </c>
      <c r="C945" s="2">
        <v>15000</v>
      </c>
      <c r="D945" s="2">
        <v>2250000</v>
      </c>
    </row>
    <row r="946" spans="1:4" x14ac:dyDescent="0.25">
      <c r="B946" t="str">
        <f>T("   Malaisie")</f>
        <v xml:space="preserve">   Malaisie</v>
      </c>
      <c r="C946" s="2">
        <v>60000</v>
      </c>
      <c r="D946" s="2">
        <v>9000000</v>
      </c>
    </row>
    <row r="947" spans="1:4" x14ac:dyDescent="0.25">
      <c r="B947" t="str">
        <f>T("   Pays-bas")</f>
        <v xml:space="preserve">   Pays-bas</v>
      </c>
      <c r="C947" s="2">
        <v>120000</v>
      </c>
      <c r="D947" s="2">
        <v>2500000</v>
      </c>
    </row>
    <row r="948" spans="1:4" x14ac:dyDescent="0.25">
      <c r="B948" t="str">
        <f>T("   Pakistan")</f>
        <v xml:space="preserve">   Pakistan</v>
      </c>
      <c r="C948" s="2">
        <v>262898</v>
      </c>
      <c r="D948" s="2">
        <v>35491230</v>
      </c>
    </row>
    <row r="949" spans="1:4" s="6" customFormat="1" x14ac:dyDescent="0.25">
      <c r="B949" s="6" t="str">
        <f>T("   Total Monde")</f>
        <v xml:space="preserve">   Total Monde</v>
      </c>
      <c r="C949" s="1">
        <v>651975</v>
      </c>
      <c r="D949" s="1">
        <v>121937430</v>
      </c>
    </row>
    <row r="950" spans="1:4" s="6" customFormat="1" x14ac:dyDescent="0.25">
      <c r="A950" s="6" t="str">
        <f>T("520419")</f>
        <v>520419</v>
      </c>
      <c r="B950" s="6" t="str">
        <f>T("AUTRES")</f>
        <v>AUTRES</v>
      </c>
      <c r="C950" s="1"/>
      <c r="D950" s="1"/>
    </row>
    <row r="951" spans="1:4" x14ac:dyDescent="0.25">
      <c r="B951" t="str">
        <f>T("   Espagne")</f>
        <v xml:space="preserve">   Espagne</v>
      </c>
      <c r="C951" s="2">
        <v>241598</v>
      </c>
      <c r="D951" s="2">
        <v>150664658</v>
      </c>
    </row>
    <row r="952" spans="1:4" x14ac:dyDescent="0.25">
      <c r="B952" t="str">
        <f>T("   Portugal")</f>
        <v xml:space="preserve">   Portugal</v>
      </c>
      <c r="C952" s="2">
        <v>106083</v>
      </c>
      <c r="D952" s="2">
        <v>62776942</v>
      </c>
    </row>
    <row r="953" spans="1:4" s="6" customFormat="1" x14ac:dyDescent="0.25">
      <c r="B953" s="6" t="str">
        <f>T("   Total Monde")</f>
        <v xml:space="preserve">   Total Monde</v>
      </c>
      <c r="C953" s="1">
        <v>347681</v>
      </c>
      <c r="D953" s="1">
        <v>213441600</v>
      </c>
    </row>
    <row r="954" spans="1:4" s="6" customFormat="1" x14ac:dyDescent="0.25">
      <c r="A954" s="6" t="str">
        <f>T("520512")</f>
        <v>520512</v>
      </c>
      <c r="B954" s="6" t="str">
        <f>T("TITRANT MOINS DE 714,29 DECITEX   MAIS PAS MOINS DE 232,56 DECITEX   (EXCEDANT 14 NU")</f>
        <v>TITRANT MOINS DE 714,29 DECITEX   MAIS PAS MOINS DE 232,56 DECITEX   (EXCEDANT 14 NU</v>
      </c>
      <c r="C954" s="1"/>
      <c r="D954" s="1"/>
    </row>
    <row r="955" spans="1:4" x14ac:dyDescent="0.25">
      <c r="B955" t="str">
        <f>T("   Chine")</f>
        <v xml:space="preserve">   Chine</v>
      </c>
      <c r="C955" s="2">
        <v>160400</v>
      </c>
      <c r="D955" s="2">
        <v>257779160</v>
      </c>
    </row>
    <row r="956" spans="1:4" s="6" customFormat="1" x14ac:dyDescent="0.25">
      <c r="B956" s="6" t="str">
        <f>T("   Total Monde")</f>
        <v xml:space="preserve">   Total Monde</v>
      </c>
      <c r="C956" s="1">
        <v>160400</v>
      </c>
      <c r="D956" s="1">
        <v>257779160</v>
      </c>
    </row>
    <row r="957" spans="1:4" s="6" customFormat="1" x14ac:dyDescent="0.25">
      <c r="A957" s="6" t="str">
        <f>T("520812")</f>
        <v>520812</v>
      </c>
      <c r="B957" s="6" t="str">
        <f>T("A ARMURE TOILE, D'UN POIDS EXCEDANT 100 G/M²")</f>
        <v>A ARMURE TOILE, D'UN POIDS EXCEDANT 100 G/M²</v>
      </c>
      <c r="C957" s="1"/>
      <c r="D957" s="1"/>
    </row>
    <row r="958" spans="1:4" x14ac:dyDescent="0.25">
      <c r="B958" t="str">
        <f>T("   Côte d'Ivoire")</f>
        <v xml:space="preserve">   Côte d'Ivoire</v>
      </c>
      <c r="C958" s="2">
        <v>1498836</v>
      </c>
      <c r="D958" s="2">
        <v>4085333280</v>
      </c>
    </row>
    <row r="959" spans="1:4" x14ac:dyDescent="0.25">
      <c r="B959" t="str">
        <f>T("   Ghana")</f>
        <v xml:space="preserve">   Ghana</v>
      </c>
      <c r="C959" s="2">
        <v>572018</v>
      </c>
      <c r="D959" s="2">
        <v>1487114916</v>
      </c>
    </row>
    <row r="960" spans="1:4" x14ac:dyDescent="0.25">
      <c r="B960" t="str">
        <f>T("   Nigéria")</f>
        <v xml:space="preserve">   Nigéria</v>
      </c>
      <c r="C960" s="2">
        <v>71508</v>
      </c>
      <c r="D960" s="2">
        <v>166965120</v>
      </c>
    </row>
    <row r="961" spans="1:4" x14ac:dyDescent="0.25">
      <c r="B961" t="str">
        <f>T("   Togo")</f>
        <v xml:space="preserve">   Togo</v>
      </c>
      <c r="C961" s="2">
        <v>1451</v>
      </c>
      <c r="D961" s="2">
        <v>3618720</v>
      </c>
    </row>
    <row r="962" spans="1:4" s="6" customFormat="1" x14ac:dyDescent="0.25">
      <c r="B962" s="6" t="str">
        <f>T("   Total Monde")</f>
        <v xml:space="preserve">   Total Monde</v>
      </c>
      <c r="C962" s="1">
        <v>2143813</v>
      </c>
      <c r="D962" s="1">
        <v>5743032036</v>
      </c>
    </row>
    <row r="963" spans="1:4" s="6" customFormat="1" x14ac:dyDescent="0.25">
      <c r="A963" s="6" t="str">
        <f>T("520819")</f>
        <v>520819</v>
      </c>
      <c r="B963" s="6" t="str">
        <f>T("AUTRES TISSUS")</f>
        <v>AUTRES TISSUS</v>
      </c>
      <c r="C963" s="1"/>
      <c r="D963" s="1"/>
    </row>
    <row r="964" spans="1:4" x14ac:dyDescent="0.25">
      <c r="B964" t="str">
        <f>T("   Mali")</f>
        <v xml:space="preserve">   Mali</v>
      </c>
      <c r="C964" s="2">
        <v>50300</v>
      </c>
      <c r="D964" s="2">
        <v>118474850</v>
      </c>
    </row>
    <row r="965" spans="1:4" x14ac:dyDescent="0.25">
      <c r="B965" t="str">
        <f>T("   Niger")</f>
        <v xml:space="preserve">   Niger</v>
      </c>
      <c r="C965" s="2">
        <v>251473</v>
      </c>
      <c r="D965" s="2">
        <v>571588800</v>
      </c>
    </row>
    <row r="966" spans="1:4" s="6" customFormat="1" x14ac:dyDescent="0.25">
      <c r="B966" s="6" t="str">
        <f>T("   Total Monde")</f>
        <v xml:space="preserve">   Total Monde</v>
      </c>
      <c r="C966" s="1">
        <v>301773</v>
      </c>
      <c r="D966" s="1">
        <v>690063650</v>
      </c>
    </row>
    <row r="967" spans="1:4" s="6" customFormat="1" x14ac:dyDescent="0.25">
      <c r="A967" s="6" t="str">
        <f>T("520821")</f>
        <v>520821</v>
      </c>
      <c r="B967" s="6" t="str">
        <f>T("A ARMURE TOILE, D'UN POIDS N'EXCEDANT PAS 100 G/M²")</f>
        <v>A ARMURE TOILE, D'UN POIDS N'EXCEDANT PAS 100 G/M²</v>
      </c>
      <c r="C967" s="1"/>
      <c r="D967" s="1"/>
    </row>
    <row r="968" spans="1:4" x14ac:dyDescent="0.25">
      <c r="B968" t="str">
        <f>T("   Nigéria")</f>
        <v xml:space="preserve">   Nigéria</v>
      </c>
      <c r="C968" s="2">
        <v>37800</v>
      </c>
      <c r="D968" s="2">
        <v>22000000</v>
      </c>
    </row>
    <row r="969" spans="1:4" s="6" customFormat="1" x14ac:dyDescent="0.25">
      <c r="B969" s="6" t="str">
        <f>T("   Total Monde")</f>
        <v xml:space="preserve">   Total Monde</v>
      </c>
      <c r="C969" s="1">
        <v>37800</v>
      </c>
      <c r="D969" s="1">
        <v>22000000</v>
      </c>
    </row>
    <row r="970" spans="1:4" s="6" customFormat="1" x14ac:dyDescent="0.25">
      <c r="A970" s="6" t="str">
        <f>T("520829")</f>
        <v>520829</v>
      </c>
      <c r="B970" s="6" t="str">
        <f>T("AUTRES TISSUS")</f>
        <v>AUTRES TISSUS</v>
      </c>
      <c r="C970" s="1"/>
      <c r="D970" s="1"/>
    </row>
    <row r="971" spans="1:4" x14ac:dyDescent="0.25">
      <c r="B971" t="str">
        <f>T("   Gabon")</f>
        <v xml:space="preserve">   Gabon</v>
      </c>
      <c r="C971" s="2">
        <v>2610</v>
      </c>
      <c r="D971" s="2">
        <v>650000</v>
      </c>
    </row>
    <row r="972" spans="1:4" s="6" customFormat="1" x14ac:dyDescent="0.25">
      <c r="B972" s="6" t="str">
        <f>T("   Total Monde")</f>
        <v xml:space="preserve">   Total Monde</v>
      </c>
      <c r="C972" s="1">
        <v>2610</v>
      </c>
      <c r="D972" s="1">
        <v>650000</v>
      </c>
    </row>
    <row r="973" spans="1:4" s="6" customFormat="1" x14ac:dyDescent="0.25">
      <c r="A973" s="6" t="str">
        <f>T("520859")</f>
        <v>520859</v>
      </c>
      <c r="B973" s="6" t="str">
        <f>T("AUTRES TISSUS")</f>
        <v>AUTRES TISSUS</v>
      </c>
      <c r="C973" s="1"/>
      <c r="D973" s="1"/>
    </row>
    <row r="974" spans="1:4" x14ac:dyDescent="0.25">
      <c r="B974" t="str">
        <f>T("   Congo, République Démocratique")</f>
        <v xml:space="preserve">   Congo, République Démocratique</v>
      </c>
      <c r="C974" s="2">
        <v>19880</v>
      </c>
      <c r="D974" s="2">
        <v>12000000</v>
      </c>
    </row>
    <row r="975" spans="1:4" x14ac:dyDescent="0.25">
      <c r="B975" t="str">
        <f>T("   Gabon")</f>
        <v xml:space="preserve">   Gabon</v>
      </c>
      <c r="C975" s="2">
        <v>30000</v>
      </c>
      <c r="D975" s="2">
        <v>20000000</v>
      </c>
    </row>
    <row r="976" spans="1:4" s="6" customFormat="1" x14ac:dyDescent="0.25">
      <c r="B976" s="6" t="str">
        <f>T("   Total Monde")</f>
        <v xml:space="preserve">   Total Monde</v>
      </c>
      <c r="C976" s="1">
        <v>49880</v>
      </c>
      <c r="D976" s="1">
        <v>32000000</v>
      </c>
    </row>
    <row r="977" spans="1:4" s="6" customFormat="1" x14ac:dyDescent="0.25">
      <c r="A977" s="6" t="str">
        <f>T("520959")</f>
        <v>520959</v>
      </c>
      <c r="B977" s="6" t="str">
        <f>T("AUTRES TISSUS")</f>
        <v>AUTRES TISSUS</v>
      </c>
      <c r="C977" s="1"/>
      <c r="D977" s="1"/>
    </row>
    <row r="978" spans="1:4" x14ac:dyDescent="0.25">
      <c r="B978" t="str">
        <f>T("   Togo")</f>
        <v xml:space="preserve">   Togo</v>
      </c>
      <c r="C978" s="2">
        <v>18450</v>
      </c>
      <c r="D978" s="2">
        <v>10000</v>
      </c>
    </row>
    <row r="979" spans="1:4" s="6" customFormat="1" x14ac:dyDescent="0.25">
      <c r="B979" s="6" t="str">
        <f>T("   Total Monde")</f>
        <v xml:space="preserve">   Total Monde</v>
      </c>
      <c r="C979" s="1">
        <v>18450</v>
      </c>
      <c r="D979" s="1">
        <v>10000</v>
      </c>
    </row>
    <row r="980" spans="1:4" s="6" customFormat="1" x14ac:dyDescent="0.25">
      <c r="A980" s="6" t="str">
        <f>T("551519")</f>
        <v>551519</v>
      </c>
      <c r="B980" s="6" t="str">
        <f>T("AUTRES")</f>
        <v>AUTRES</v>
      </c>
      <c r="C980" s="1"/>
      <c r="D980" s="1"/>
    </row>
    <row r="981" spans="1:4" x14ac:dyDescent="0.25">
      <c r="B981" t="str">
        <f>T("   Gambie")</f>
        <v xml:space="preserve">   Gambie</v>
      </c>
      <c r="C981" s="2">
        <v>5000</v>
      </c>
      <c r="D981" s="2">
        <v>2962481</v>
      </c>
    </row>
    <row r="982" spans="1:4" s="6" customFormat="1" x14ac:dyDescent="0.25">
      <c r="B982" s="6" t="str">
        <f>T("   Total Monde")</f>
        <v xml:space="preserve">   Total Monde</v>
      </c>
      <c r="C982" s="1">
        <v>5000</v>
      </c>
      <c r="D982" s="1">
        <v>2962481</v>
      </c>
    </row>
    <row r="983" spans="1:4" s="6" customFormat="1" x14ac:dyDescent="0.25">
      <c r="A983" s="6" t="str">
        <f>T("560749")</f>
        <v>560749</v>
      </c>
      <c r="B983" s="6" t="str">
        <f>T("AUTRES")</f>
        <v>AUTRES</v>
      </c>
      <c r="C983" s="1"/>
      <c r="D983" s="1"/>
    </row>
    <row r="984" spans="1:4" x14ac:dyDescent="0.25">
      <c r="B984" t="str">
        <f>T("   France")</f>
        <v xml:space="preserve">   France</v>
      </c>
      <c r="C984" s="2">
        <v>16705</v>
      </c>
      <c r="D984" s="2">
        <v>16399</v>
      </c>
    </row>
    <row r="985" spans="1:4" s="6" customFormat="1" x14ac:dyDescent="0.25">
      <c r="B985" s="6" t="str">
        <f>T("   Total Monde")</f>
        <v xml:space="preserve">   Total Monde</v>
      </c>
      <c r="C985" s="1">
        <v>16705</v>
      </c>
      <c r="D985" s="1">
        <v>16399</v>
      </c>
    </row>
    <row r="986" spans="1:4" s="6" customFormat="1" x14ac:dyDescent="0.25">
      <c r="A986" s="6" t="str">
        <f>T("570190")</f>
        <v>570190</v>
      </c>
      <c r="B986" s="6" t="str">
        <f>T("D'AUTRES MATIERES TEXTILES")</f>
        <v>D'AUTRES MATIERES TEXTILES</v>
      </c>
      <c r="C986" s="1"/>
      <c r="D986" s="1"/>
    </row>
    <row r="987" spans="1:4" x14ac:dyDescent="0.25">
      <c r="B987" t="str">
        <f>T("   Togo")</f>
        <v xml:space="preserve">   Togo</v>
      </c>
      <c r="C987" s="2">
        <v>2500</v>
      </c>
      <c r="D987" s="2">
        <v>1500000</v>
      </c>
    </row>
    <row r="988" spans="1:4" s="6" customFormat="1" x14ac:dyDescent="0.25">
      <c r="B988" s="6" t="str">
        <f>T("   Total Monde")</f>
        <v xml:space="preserve">   Total Monde</v>
      </c>
      <c r="C988" s="1">
        <v>2500</v>
      </c>
      <c r="D988" s="1">
        <v>1500000</v>
      </c>
    </row>
    <row r="989" spans="1:4" s="6" customFormat="1" x14ac:dyDescent="0.25">
      <c r="A989" s="6" t="str">
        <f>T("570390")</f>
        <v>570390</v>
      </c>
      <c r="B989" s="6" t="str">
        <f>T("D'AUTRES MATIERES TEXTILES")</f>
        <v>D'AUTRES MATIERES TEXTILES</v>
      </c>
      <c r="C989" s="1"/>
      <c r="D989" s="1"/>
    </row>
    <row r="990" spans="1:4" x14ac:dyDescent="0.25">
      <c r="B990" t="str">
        <f>T("   Togo")</f>
        <v xml:space="preserve">   Togo</v>
      </c>
      <c r="C990" s="2">
        <v>350</v>
      </c>
      <c r="D990" s="2">
        <v>1500000</v>
      </c>
    </row>
    <row r="991" spans="1:4" s="6" customFormat="1" x14ac:dyDescent="0.25">
      <c r="B991" s="6" t="str">
        <f>T("   Total Monde")</f>
        <v xml:space="preserve">   Total Monde</v>
      </c>
      <c r="C991" s="1">
        <v>350</v>
      </c>
      <c r="D991" s="1">
        <v>1500000</v>
      </c>
    </row>
    <row r="992" spans="1:4" s="6" customFormat="1" x14ac:dyDescent="0.25">
      <c r="A992" s="6" t="str">
        <f>T("570500")</f>
        <v>570500</v>
      </c>
      <c r="B992" s="6" t="str">
        <f>T("AUTRES TAPIS ET REVETEMENTS DE SOL EN MATIERES TEXTILES, MEME CONFECTIONNES.")</f>
        <v>AUTRES TAPIS ET REVETEMENTS DE SOL EN MATIERES TEXTILES, MEME CONFECTIONNES.</v>
      </c>
      <c r="C992" s="1"/>
      <c r="D992" s="1"/>
    </row>
    <row r="993" spans="1:4" x14ac:dyDescent="0.25">
      <c r="B993" t="str">
        <f>T("   Sénégal")</f>
        <v xml:space="preserve">   Sénégal</v>
      </c>
      <c r="C993" s="2">
        <v>80</v>
      </c>
      <c r="D993" s="2">
        <v>25000</v>
      </c>
    </row>
    <row r="994" spans="1:4" x14ac:dyDescent="0.25">
      <c r="B994" t="str">
        <f>T("   Togo")</f>
        <v xml:space="preserve">   Togo</v>
      </c>
      <c r="C994" s="2">
        <v>3205</v>
      </c>
      <c r="D994" s="2">
        <v>884246</v>
      </c>
    </row>
    <row r="995" spans="1:4" s="6" customFormat="1" x14ac:dyDescent="0.25">
      <c r="B995" s="6" t="str">
        <f>T("   Total Monde")</f>
        <v xml:space="preserve">   Total Monde</v>
      </c>
      <c r="C995" s="1">
        <v>3285</v>
      </c>
      <c r="D995" s="1">
        <v>909246</v>
      </c>
    </row>
    <row r="996" spans="1:4" s="6" customFormat="1" x14ac:dyDescent="0.25">
      <c r="A996" s="6" t="str">
        <f>T("610339")</f>
        <v>610339</v>
      </c>
      <c r="B996" s="6" t="str">
        <f>T("D'AUTRES MATIERES TEXTILES")</f>
        <v>D'AUTRES MATIERES TEXTILES</v>
      </c>
      <c r="C996" s="1"/>
      <c r="D996" s="1"/>
    </row>
    <row r="997" spans="1:4" x14ac:dyDescent="0.25">
      <c r="B997" t="str">
        <f>T("   Belgique")</f>
        <v xml:space="preserve">   Belgique</v>
      </c>
      <c r="C997" s="2">
        <v>5830</v>
      </c>
      <c r="D997" s="2">
        <v>9000000</v>
      </c>
    </row>
    <row r="998" spans="1:4" s="6" customFormat="1" x14ac:dyDescent="0.25">
      <c r="B998" s="6" t="str">
        <f>T("   Total Monde")</f>
        <v xml:space="preserve">   Total Monde</v>
      </c>
      <c r="C998" s="1">
        <v>5830</v>
      </c>
      <c r="D998" s="1">
        <v>9000000</v>
      </c>
    </row>
    <row r="999" spans="1:4" s="6" customFormat="1" x14ac:dyDescent="0.25">
      <c r="A999" s="6" t="str">
        <f>T("610449")</f>
        <v>610449</v>
      </c>
      <c r="B999" s="6" t="str">
        <f>T("D'AUTRES MATIERES TEXTILES")</f>
        <v>D'AUTRES MATIERES TEXTILES</v>
      </c>
      <c r="C999" s="1"/>
      <c r="D999" s="1"/>
    </row>
    <row r="1000" spans="1:4" x14ac:dyDescent="0.25">
      <c r="B1000" t="str">
        <f>T("   Libéria")</f>
        <v xml:space="preserve">   Libéria</v>
      </c>
      <c r="C1000" s="2">
        <v>1327</v>
      </c>
      <c r="D1000" s="2">
        <v>3000000</v>
      </c>
    </row>
    <row r="1001" spans="1:4" s="6" customFormat="1" x14ac:dyDescent="0.25">
      <c r="B1001" s="6" t="str">
        <f>T("   Total Monde")</f>
        <v xml:space="preserve">   Total Monde</v>
      </c>
      <c r="C1001" s="1">
        <v>1327</v>
      </c>
      <c r="D1001" s="1">
        <v>3000000</v>
      </c>
    </row>
    <row r="1002" spans="1:4" s="6" customFormat="1" x14ac:dyDescent="0.25">
      <c r="A1002" s="6" t="str">
        <f>T("610799")</f>
        <v>610799</v>
      </c>
      <c r="B1002" s="6" t="str">
        <f>T("D'AUTRES MATIERES TEXTILES")</f>
        <v>D'AUTRES MATIERES TEXTILES</v>
      </c>
      <c r="C1002" s="1"/>
      <c r="D1002" s="1"/>
    </row>
    <row r="1003" spans="1:4" x14ac:dyDescent="0.25">
      <c r="B1003" t="str">
        <f>T("   Gabon")</f>
        <v xml:space="preserve">   Gabon</v>
      </c>
      <c r="C1003" s="2">
        <v>8000</v>
      </c>
      <c r="D1003" s="2">
        <v>3942320</v>
      </c>
    </row>
    <row r="1004" spans="1:4" s="6" customFormat="1" x14ac:dyDescent="0.25">
      <c r="B1004" s="6" t="str">
        <f>T("   Total Monde")</f>
        <v xml:space="preserve">   Total Monde</v>
      </c>
      <c r="C1004" s="1">
        <v>8000</v>
      </c>
      <c r="D1004" s="1">
        <v>3942320</v>
      </c>
    </row>
    <row r="1005" spans="1:4" s="6" customFormat="1" x14ac:dyDescent="0.25">
      <c r="A1005" s="6" t="str">
        <f>T("610829")</f>
        <v>610829</v>
      </c>
      <c r="B1005" s="6" t="str">
        <f>T("D'AUTRES MATIERES TEXTILES")</f>
        <v>D'AUTRES MATIERES TEXTILES</v>
      </c>
      <c r="C1005" s="1"/>
      <c r="D1005" s="1"/>
    </row>
    <row r="1006" spans="1:4" x14ac:dyDescent="0.25">
      <c r="B1006" t="str">
        <f>T("   Guinée Equatoriale")</f>
        <v xml:space="preserve">   Guinée Equatoriale</v>
      </c>
      <c r="C1006" s="2">
        <v>200</v>
      </c>
      <c r="D1006" s="2">
        <v>200000</v>
      </c>
    </row>
    <row r="1007" spans="1:4" s="6" customFormat="1" x14ac:dyDescent="0.25">
      <c r="B1007" s="6" t="str">
        <f>T("   Total Monde")</f>
        <v xml:space="preserve">   Total Monde</v>
      </c>
      <c r="C1007" s="1">
        <v>200</v>
      </c>
      <c r="D1007" s="1">
        <v>200000</v>
      </c>
    </row>
    <row r="1008" spans="1:4" s="6" customFormat="1" x14ac:dyDescent="0.25">
      <c r="A1008" s="6" t="str">
        <f>T("610990")</f>
        <v>610990</v>
      </c>
      <c r="B1008" s="6" t="str">
        <f>T("D'AUTRES MATIERES TEXTILES")</f>
        <v>D'AUTRES MATIERES TEXTILES</v>
      </c>
      <c r="C1008" s="1"/>
      <c r="D1008" s="1"/>
    </row>
    <row r="1009" spans="1:4" x14ac:dyDescent="0.25">
      <c r="B1009" t="str">
        <f>T("   Suède")</f>
        <v xml:space="preserve">   Suède</v>
      </c>
      <c r="C1009" s="2">
        <v>124</v>
      </c>
      <c r="D1009" s="2">
        <v>1422000</v>
      </c>
    </row>
    <row r="1010" spans="1:4" x14ac:dyDescent="0.25">
      <c r="B1010" t="str">
        <f>T("   Sénégal")</f>
        <v xml:space="preserve">   Sénégal</v>
      </c>
      <c r="C1010" s="2">
        <v>310</v>
      </c>
      <c r="D1010" s="2">
        <v>1250000</v>
      </c>
    </row>
    <row r="1011" spans="1:4" s="6" customFormat="1" x14ac:dyDescent="0.25">
      <c r="B1011" s="6" t="str">
        <f>T("   Total Monde")</f>
        <v xml:space="preserve">   Total Monde</v>
      </c>
      <c r="C1011" s="1">
        <v>434</v>
      </c>
      <c r="D1011" s="1">
        <v>2672000</v>
      </c>
    </row>
    <row r="1012" spans="1:4" s="6" customFormat="1" x14ac:dyDescent="0.25">
      <c r="A1012" s="6" t="str">
        <f>T("611190")</f>
        <v>611190</v>
      </c>
      <c r="B1012" s="6" t="str">
        <f>T("D'AUTRES MATIERES TEXTILES")</f>
        <v>D'AUTRES MATIERES TEXTILES</v>
      </c>
      <c r="C1012" s="1"/>
      <c r="D1012" s="1"/>
    </row>
    <row r="1013" spans="1:4" x14ac:dyDescent="0.25">
      <c r="B1013" t="str">
        <f>T("   France")</f>
        <v xml:space="preserve">   France</v>
      </c>
      <c r="C1013" s="2">
        <v>175</v>
      </c>
      <c r="D1013" s="2">
        <v>1971000</v>
      </c>
    </row>
    <row r="1014" spans="1:4" s="6" customFormat="1" x14ac:dyDescent="0.25">
      <c r="B1014" s="6" t="str">
        <f>T("   Total Monde")</f>
        <v xml:space="preserve">   Total Monde</v>
      </c>
      <c r="C1014" s="1">
        <v>175</v>
      </c>
      <c r="D1014" s="1">
        <v>1971000</v>
      </c>
    </row>
    <row r="1015" spans="1:4" s="6" customFormat="1" x14ac:dyDescent="0.25">
      <c r="A1015" s="6" t="str">
        <f>T("611300")</f>
        <v>611300</v>
      </c>
      <c r="B1015" s="6" t="str">
        <f>T("VETEMENTS CONFECTIONNES EN ETOFFES DE BONNETERIE DES N°S 59.03, 59.06 OU 59.07.")</f>
        <v>VETEMENTS CONFECTIONNES EN ETOFFES DE BONNETERIE DES N°S 59.03, 59.06 OU 59.07.</v>
      </c>
      <c r="C1015" s="1"/>
      <c r="D1015" s="1"/>
    </row>
    <row r="1016" spans="1:4" x14ac:dyDescent="0.25">
      <c r="B1016" t="str">
        <f>T("   France")</f>
        <v xml:space="preserve">   France</v>
      </c>
      <c r="C1016" s="2">
        <v>424</v>
      </c>
      <c r="D1016" s="2">
        <v>3279800</v>
      </c>
    </row>
    <row r="1017" spans="1:4" s="6" customFormat="1" x14ac:dyDescent="0.25">
      <c r="B1017" s="6" t="str">
        <f>T("   Total Monde")</f>
        <v xml:space="preserve">   Total Monde</v>
      </c>
      <c r="C1017" s="1">
        <v>424</v>
      </c>
      <c r="D1017" s="1">
        <v>3279800</v>
      </c>
    </row>
    <row r="1018" spans="1:4" s="6" customFormat="1" x14ac:dyDescent="0.25">
      <c r="A1018" s="6" t="str">
        <f>T("611420")</f>
        <v>611420</v>
      </c>
      <c r="B1018" s="6" t="str">
        <f>T("DE COTON")</f>
        <v>DE COTON</v>
      </c>
      <c r="C1018" s="1"/>
      <c r="D1018" s="1"/>
    </row>
    <row r="1019" spans="1:4" x14ac:dyDescent="0.25">
      <c r="B1019" t="str">
        <f>T("   Guinée Equatoriale")</f>
        <v xml:space="preserve">   Guinée Equatoriale</v>
      </c>
      <c r="C1019" s="2">
        <v>100</v>
      </c>
      <c r="D1019" s="2">
        <v>200000</v>
      </c>
    </row>
    <row r="1020" spans="1:4" s="6" customFormat="1" x14ac:dyDescent="0.25">
      <c r="B1020" s="6" t="str">
        <f>T("   Total Monde")</f>
        <v xml:space="preserve">   Total Monde</v>
      </c>
      <c r="C1020" s="1">
        <v>100</v>
      </c>
      <c r="D1020" s="1">
        <v>200000</v>
      </c>
    </row>
    <row r="1021" spans="1:4" s="6" customFormat="1" x14ac:dyDescent="0.25">
      <c r="A1021" s="6" t="str">
        <f>T("611490")</f>
        <v>611490</v>
      </c>
      <c r="B1021" s="6" t="str">
        <f>T("D'AUTRES MATIERES TEXTILES")</f>
        <v>D'AUTRES MATIERES TEXTILES</v>
      </c>
      <c r="C1021" s="1"/>
      <c r="D1021" s="1"/>
    </row>
    <row r="1022" spans="1:4" x14ac:dyDescent="0.25">
      <c r="B1022" t="str">
        <f>T("   Tanzanie")</f>
        <v xml:space="preserve">   Tanzanie</v>
      </c>
      <c r="C1022" s="2">
        <v>8000</v>
      </c>
      <c r="D1022" s="2">
        <v>3500000</v>
      </c>
    </row>
    <row r="1023" spans="1:4" s="6" customFormat="1" x14ac:dyDescent="0.25">
      <c r="B1023" s="6" t="str">
        <f>T("   Total Monde")</f>
        <v xml:space="preserve">   Total Monde</v>
      </c>
      <c r="C1023" s="1">
        <v>8000</v>
      </c>
      <c r="D1023" s="1">
        <v>3500000</v>
      </c>
    </row>
    <row r="1024" spans="1:4" s="6" customFormat="1" x14ac:dyDescent="0.25">
      <c r="A1024" s="6" t="str">
        <f>T("611610")</f>
        <v>611610</v>
      </c>
      <c r="B1024" s="6" t="str">
        <f>T("IMPREGNES, ENDUITS OU RECOUVERTS DE MATIERES PLASTIQUES OU DE CAOUTCHOUC")</f>
        <v>IMPREGNES, ENDUITS OU RECOUVERTS DE MATIERES PLASTIQUES OU DE CAOUTCHOUC</v>
      </c>
      <c r="C1024" s="1"/>
      <c r="D1024" s="1"/>
    </row>
    <row r="1025" spans="1:4" x14ac:dyDescent="0.25">
      <c r="B1025" t="str">
        <f>T("   Etats-Unis")</f>
        <v xml:space="preserve">   Etats-Unis</v>
      </c>
      <c r="C1025" s="2">
        <v>4.5</v>
      </c>
      <c r="D1025" s="2">
        <v>254977</v>
      </c>
    </row>
    <row r="1026" spans="1:4" s="6" customFormat="1" x14ac:dyDescent="0.25">
      <c r="B1026" s="6" t="str">
        <f>T("   Total Monde")</f>
        <v xml:space="preserve">   Total Monde</v>
      </c>
      <c r="C1026" s="1">
        <v>4.5</v>
      </c>
      <c r="D1026" s="1">
        <v>254977</v>
      </c>
    </row>
    <row r="1027" spans="1:4" s="6" customFormat="1" x14ac:dyDescent="0.25">
      <c r="A1027" s="6" t="str">
        <f>T("611780")</f>
        <v>611780</v>
      </c>
      <c r="B1027" s="6" t="str">
        <f>T("AUTRES ACCESSOIRES")</f>
        <v>AUTRES ACCESSOIRES</v>
      </c>
      <c r="C1027" s="1"/>
      <c r="D1027" s="1"/>
    </row>
    <row r="1028" spans="1:4" x14ac:dyDescent="0.25">
      <c r="B1028" t="str">
        <f>T("   France")</f>
        <v xml:space="preserve">   France</v>
      </c>
      <c r="C1028" s="2">
        <v>6500</v>
      </c>
      <c r="D1028" s="2">
        <v>5894779</v>
      </c>
    </row>
    <row r="1029" spans="1:4" s="6" customFormat="1" x14ac:dyDescent="0.25">
      <c r="B1029" s="6" t="str">
        <f>T("   Total Monde")</f>
        <v xml:space="preserve">   Total Monde</v>
      </c>
      <c r="C1029" s="1">
        <v>6500</v>
      </c>
      <c r="D1029" s="1">
        <v>5894779</v>
      </c>
    </row>
    <row r="1030" spans="1:4" s="6" customFormat="1" x14ac:dyDescent="0.25">
      <c r="A1030" s="6" t="str">
        <f>T("620329")</f>
        <v>620329</v>
      </c>
      <c r="B1030" s="6" t="str">
        <f>T("D'AUTRES MATIERES TEXTILES")</f>
        <v>D'AUTRES MATIERES TEXTILES</v>
      </c>
      <c r="C1030" s="1"/>
      <c r="D1030" s="1"/>
    </row>
    <row r="1031" spans="1:4" x14ac:dyDescent="0.25">
      <c r="B1031" t="str">
        <f>T("   Allemagne")</f>
        <v xml:space="preserve">   Allemagne</v>
      </c>
      <c r="C1031" s="2">
        <v>10</v>
      </c>
      <c r="D1031" s="2">
        <v>500000</v>
      </c>
    </row>
    <row r="1032" spans="1:4" s="6" customFormat="1" x14ac:dyDescent="0.25">
      <c r="B1032" s="6" t="str">
        <f>T("   Total Monde")</f>
        <v xml:space="preserve">   Total Monde</v>
      </c>
      <c r="C1032" s="1">
        <v>10</v>
      </c>
      <c r="D1032" s="1">
        <v>500000</v>
      </c>
    </row>
    <row r="1033" spans="1:4" s="6" customFormat="1" x14ac:dyDescent="0.25">
      <c r="A1033" s="6" t="str">
        <f>T("620342")</f>
        <v>620342</v>
      </c>
      <c r="B1033" s="6" t="str">
        <f>T("DE COTON")</f>
        <v>DE COTON</v>
      </c>
      <c r="C1033" s="1"/>
      <c r="D1033" s="1"/>
    </row>
    <row r="1034" spans="1:4" x14ac:dyDescent="0.25">
      <c r="B1034" t="str">
        <f>T("   Pays-bas")</f>
        <v xml:space="preserve">   Pays-bas</v>
      </c>
      <c r="C1034" s="2">
        <v>3889</v>
      </c>
      <c r="D1034" s="2">
        <v>27677043</v>
      </c>
    </row>
    <row r="1035" spans="1:4" s="6" customFormat="1" x14ac:dyDescent="0.25">
      <c r="B1035" s="6" t="str">
        <f>T("   Total Monde")</f>
        <v xml:space="preserve">   Total Monde</v>
      </c>
      <c r="C1035" s="1">
        <v>3889</v>
      </c>
      <c r="D1035" s="1">
        <v>27677043</v>
      </c>
    </row>
    <row r="1036" spans="1:4" s="6" customFormat="1" x14ac:dyDescent="0.25">
      <c r="A1036" s="6" t="str">
        <f>T("620349")</f>
        <v>620349</v>
      </c>
      <c r="B1036" s="6" t="str">
        <f>T("D'AUTRES MATIERES TEXTILES")</f>
        <v>D'AUTRES MATIERES TEXTILES</v>
      </c>
      <c r="C1036" s="1"/>
      <c r="D1036" s="1"/>
    </row>
    <row r="1037" spans="1:4" x14ac:dyDescent="0.25">
      <c r="B1037" t="str">
        <f>T("   Côte d'Ivoire")</f>
        <v xml:space="preserve">   Côte d'Ivoire</v>
      </c>
      <c r="C1037" s="2">
        <v>237</v>
      </c>
      <c r="D1037" s="2">
        <v>500000</v>
      </c>
    </row>
    <row r="1038" spans="1:4" x14ac:dyDescent="0.25">
      <c r="B1038" t="str">
        <f>T("   Allemagne")</f>
        <v xml:space="preserve">   Allemagne</v>
      </c>
      <c r="C1038" s="2">
        <v>211</v>
      </c>
      <c r="D1038" s="2">
        <v>500000</v>
      </c>
    </row>
    <row r="1039" spans="1:4" x14ac:dyDescent="0.25">
      <c r="B1039" t="str">
        <f>T("   Kenya")</f>
        <v xml:space="preserve">   Kenya</v>
      </c>
      <c r="C1039" s="2">
        <v>602</v>
      </c>
      <c r="D1039" s="2">
        <v>2000000</v>
      </c>
    </row>
    <row r="1040" spans="1:4" x14ac:dyDescent="0.25">
      <c r="B1040" t="str">
        <f>T("   Etats-Unis")</f>
        <v xml:space="preserve">   Etats-Unis</v>
      </c>
      <c r="C1040" s="2">
        <v>1106</v>
      </c>
      <c r="D1040" s="2">
        <v>1000000</v>
      </c>
    </row>
    <row r="1041" spans="1:4" x14ac:dyDescent="0.25">
      <c r="B1041" t="str">
        <f>T("   Afrique du Sud")</f>
        <v xml:space="preserve">   Afrique du Sud</v>
      </c>
      <c r="C1041" s="2">
        <v>110</v>
      </c>
      <c r="D1041" s="2">
        <v>180389</v>
      </c>
    </row>
    <row r="1042" spans="1:4" s="6" customFormat="1" x14ac:dyDescent="0.25">
      <c r="B1042" s="6" t="str">
        <f>T("   Total Monde")</f>
        <v xml:space="preserve">   Total Monde</v>
      </c>
      <c r="C1042" s="1">
        <v>2266</v>
      </c>
      <c r="D1042" s="1">
        <v>4180389</v>
      </c>
    </row>
    <row r="1043" spans="1:4" s="6" customFormat="1" x14ac:dyDescent="0.25">
      <c r="A1043" s="6" t="str">
        <f>T("620421")</f>
        <v>620421</v>
      </c>
      <c r="B1043" s="6" t="str">
        <f>T("DE LAINE OU DE POILS FINS")</f>
        <v>DE LAINE OU DE POILS FINS</v>
      </c>
      <c r="C1043" s="1"/>
      <c r="D1043" s="1"/>
    </row>
    <row r="1044" spans="1:4" x14ac:dyDescent="0.25">
      <c r="B1044" t="str">
        <f>T("   Ouganda")</f>
        <v xml:space="preserve">   Ouganda</v>
      </c>
      <c r="C1044" s="2">
        <v>200</v>
      </c>
      <c r="D1044" s="2">
        <v>200000</v>
      </c>
    </row>
    <row r="1045" spans="1:4" s="6" customFormat="1" x14ac:dyDescent="0.25">
      <c r="B1045" s="6" t="str">
        <f>T("   Total Monde")</f>
        <v xml:space="preserve">   Total Monde</v>
      </c>
      <c r="C1045" s="1">
        <v>200</v>
      </c>
      <c r="D1045" s="1">
        <v>200000</v>
      </c>
    </row>
    <row r="1046" spans="1:4" s="6" customFormat="1" x14ac:dyDescent="0.25">
      <c r="A1046" s="6" t="str">
        <f>T("620590")</f>
        <v>620590</v>
      </c>
      <c r="B1046" s="6" t="str">
        <f>T("D'AUTRES MATIERES TEXTILES")</f>
        <v>D'AUTRES MATIERES TEXTILES</v>
      </c>
      <c r="C1046" s="1"/>
      <c r="D1046" s="1"/>
    </row>
    <row r="1047" spans="1:4" x14ac:dyDescent="0.25">
      <c r="B1047" t="str">
        <f>T("   Emirats Arabes Unis")</f>
        <v xml:space="preserve">   Emirats Arabes Unis</v>
      </c>
      <c r="C1047" s="2">
        <v>9880</v>
      </c>
      <c r="D1047" s="2">
        <v>4920258</v>
      </c>
    </row>
    <row r="1048" spans="1:4" x14ac:dyDescent="0.25">
      <c r="B1048" t="str">
        <f>T("   Bosnie Herzégovine")</f>
        <v xml:space="preserve">   Bosnie Herzégovine</v>
      </c>
      <c r="C1048" s="2">
        <v>1100</v>
      </c>
      <c r="D1048" s="2">
        <v>900000</v>
      </c>
    </row>
    <row r="1049" spans="1:4" x14ac:dyDescent="0.25">
      <c r="B1049" t="str">
        <f>T("   Belgique")</f>
        <v xml:space="preserve">   Belgique</v>
      </c>
      <c r="C1049" s="2">
        <v>2950</v>
      </c>
      <c r="D1049" s="2">
        <v>3050000</v>
      </c>
    </row>
    <row r="1050" spans="1:4" x14ac:dyDescent="0.25">
      <c r="B1050" t="str">
        <f>T("   Burkina Faso")</f>
        <v xml:space="preserve">   Burkina Faso</v>
      </c>
      <c r="C1050" s="2">
        <v>1100</v>
      </c>
      <c r="D1050" s="2">
        <v>1200000</v>
      </c>
    </row>
    <row r="1051" spans="1:4" x14ac:dyDescent="0.25">
      <c r="B1051" t="str">
        <f>T("   Congo, République Démocratique")</f>
        <v xml:space="preserve">   Congo, République Démocratique</v>
      </c>
      <c r="C1051" s="2">
        <v>1100</v>
      </c>
      <c r="D1051" s="2">
        <v>1300000</v>
      </c>
    </row>
    <row r="1052" spans="1:4" x14ac:dyDescent="0.25">
      <c r="B1052" t="str">
        <f>T("   Côte d'Ivoire")</f>
        <v xml:space="preserve">   Côte d'Ivoire</v>
      </c>
      <c r="C1052" s="2">
        <v>500</v>
      </c>
      <c r="D1052" s="2">
        <v>500000</v>
      </c>
    </row>
    <row r="1053" spans="1:4" x14ac:dyDescent="0.25">
      <c r="B1053" t="str">
        <f>T("   Cameroun")</f>
        <v xml:space="preserve">   Cameroun</v>
      </c>
      <c r="C1053" s="2">
        <v>4200</v>
      </c>
      <c r="D1053" s="2">
        <v>3450000</v>
      </c>
    </row>
    <row r="1054" spans="1:4" x14ac:dyDescent="0.25">
      <c r="B1054" t="str">
        <f>T("   Tchécoslovaquie")</f>
        <v xml:space="preserve">   Tchécoslovaquie</v>
      </c>
      <c r="C1054" s="2">
        <v>500</v>
      </c>
      <c r="D1054" s="2">
        <v>400000</v>
      </c>
    </row>
    <row r="1055" spans="1:4" x14ac:dyDescent="0.25">
      <c r="B1055" t="str">
        <f>T("   Allemagne")</f>
        <v xml:space="preserve">   Allemagne</v>
      </c>
      <c r="C1055" s="2">
        <v>1750</v>
      </c>
      <c r="D1055" s="2">
        <v>1700000</v>
      </c>
    </row>
    <row r="1056" spans="1:4" x14ac:dyDescent="0.25">
      <c r="B1056" t="str">
        <f>T("   Fiji")</f>
        <v xml:space="preserve">   Fiji</v>
      </c>
      <c r="C1056" s="2">
        <v>1300</v>
      </c>
      <c r="D1056" s="2">
        <v>900000</v>
      </c>
    </row>
    <row r="1057" spans="1:4" x14ac:dyDescent="0.25">
      <c r="B1057" t="str">
        <f>T("   France")</f>
        <v xml:space="preserve">   France</v>
      </c>
      <c r="C1057" s="2">
        <v>3550</v>
      </c>
      <c r="D1057" s="2">
        <v>3900000</v>
      </c>
    </row>
    <row r="1058" spans="1:4" x14ac:dyDescent="0.25">
      <c r="B1058" t="str">
        <f>T("   Ghana")</f>
        <v xml:space="preserve">   Ghana</v>
      </c>
      <c r="C1058" s="2">
        <v>2500</v>
      </c>
      <c r="D1058" s="2">
        <v>2100000</v>
      </c>
    </row>
    <row r="1059" spans="1:4" x14ac:dyDescent="0.25">
      <c r="B1059" t="str">
        <f>T("   Japon")</f>
        <v xml:space="preserve">   Japon</v>
      </c>
      <c r="C1059" s="2">
        <v>900</v>
      </c>
      <c r="D1059" s="2">
        <v>850000</v>
      </c>
    </row>
    <row r="1060" spans="1:4" x14ac:dyDescent="0.25">
      <c r="B1060" t="str">
        <f>T("   Kenya")</f>
        <v xml:space="preserve">   Kenya</v>
      </c>
      <c r="C1060" s="2">
        <v>1200</v>
      </c>
      <c r="D1060" s="2">
        <v>800000</v>
      </c>
    </row>
    <row r="1061" spans="1:4" x14ac:dyDescent="0.25">
      <c r="B1061" t="str">
        <f>T("   Liban")</f>
        <v xml:space="preserve">   Liban</v>
      </c>
      <c r="C1061" s="2">
        <v>600</v>
      </c>
      <c r="D1061" s="2">
        <v>500000</v>
      </c>
    </row>
    <row r="1062" spans="1:4" x14ac:dyDescent="0.25">
      <c r="B1062" t="str">
        <f>T("   Madagascar")</f>
        <v xml:space="preserve">   Madagascar</v>
      </c>
      <c r="C1062" s="2">
        <v>250</v>
      </c>
      <c r="D1062" s="2">
        <v>170000</v>
      </c>
    </row>
    <row r="1063" spans="1:4" x14ac:dyDescent="0.25">
      <c r="B1063" t="str">
        <f>T("   Nigéria")</f>
        <v xml:space="preserve">   Nigéria</v>
      </c>
      <c r="C1063" s="2">
        <v>1000</v>
      </c>
      <c r="D1063" s="2">
        <v>700000</v>
      </c>
    </row>
    <row r="1064" spans="1:4" x14ac:dyDescent="0.25">
      <c r="B1064" t="str">
        <f>T("   Pays-bas")</f>
        <v xml:space="preserve">   Pays-bas</v>
      </c>
      <c r="C1064" s="2">
        <v>500</v>
      </c>
      <c r="D1064" s="2">
        <v>700000</v>
      </c>
    </row>
    <row r="1065" spans="1:4" x14ac:dyDescent="0.25">
      <c r="B1065" t="str">
        <f>T("   Portugal")</f>
        <v xml:space="preserve">   Portugal</v>
      </c>
      <c r="C1065" s="2">
        <v>700</v>
      </c>
      <c r="D1065" s="2">
        <v>600000</v>
      </c>
    </row>
    <row r="1066" spans="1:4" x14ac:dyDescent="0.25">
      <c r="B1066" t="str">
        <f>T("   Sénégal")</f>
        <v xml:space="preserve">   Sénégal</v>
      </c>
      <c r="C1066" s="2">
        <v>4900</v>
      </c>
      <c r="D1066" s="2">
        <v>4100000</v>
      </c>
    </row>
    <row r="1067" spans="1:4" x14ac:dyDescent="0.25">
      <c r="B1067" t="str">
        <f>T("   Togo")</f>
        <v xml:space="preserve">   Togo</v>
      </c>
      <c r="C1067" s="2">
        <v>800</v>
      </c>
      <c r="D1067" s="2">
        <v>1000000</v>
      </c>
    </row>
    <row r="1068" spans="1:4" x14ac:dyDescent="0.25">
      <c r="B1068" t="str">
        <f>T("   Tunisie")</f>
        <v xml:space="preserve">   Tunisie</v>
      </c>
      <c r="C1068" s="2">
        <v>500</v>
      </c>
      <c r="D1068" s="2">
        <v>1000000</v>
      </c>
    </row>
    <row r="1069" spans="1:4" x14ac:dyDescent="0.25">
      <c r="B1069" t="str">
        <f>T("   Etats-Unis")</f>
        <v xml:space="preserve">   Etats-Unis</v>
      </c>
      <c r="C1069" s="2">
        <v>1325</v>
      </c>
      <c r="D1069" s="2">
        <v>1550000</v>
      </c>
    </row>
    <row r="1070" spans="1:4" x14ac:dyDescent="0.25">
      <c r="B1070" t="str">
        <f>T("   Vietnam")</f>
        <v xml:space="preserve">   Vietnam</v>
      </c>
      <c r="C1070" s="2">
        <v>550</v>
      </c>
      <c r="D1070" s="2">
        <v>400000</v>
      </c>
    </row>
    <row r="1071" spans="1:4" s="6" customFormat="1" x14ac:dyDescent="0.25">
      <c r="B1071" s="6" t="str">
        <f>T("   Total Monde")</f>
        <v xml:space="preserve">   Total Monde</v>
      </c>
      <c r="C1071" s="1">
        <v>43655</v>
      </c>
      <c r="D1071" s="1">
        <v>36690258</v>
      </c>
    </row>
    <row r="1072" spans="1:4" s="6" customFormat="1" x14ac:dyDescent="0.25">
      <c r="A1072" s="6" t="str">
        <f>T("621020")</f>
        <v>621020</v>
      </c>
      <c r="B1072" s="6" t="str">
        <f>T("AUTRES VETEMENTS, DES TYPES VISES DANS LES N°S 6201.11 A 6201.19")</f>
        <v>AUTRES VETEMENTS, DES TYPES VISES DANS LES N°S 6201.11 A 6201.19</v>
      </c>
      <c r="C1072" s="1"/>
      <c r="D1072" s="1"/>
    </row>
    <row r="1073" spans="1:4" x14ac:dyDescent="0.25">
      <c r="B1073" t="str">
        <f>T("   France")</f>
        <v xml:space="preserve">   France</v>
      </c>
      <c r="C1073" s="2">
        <v>105</v>
      </c>
      <c r="D1073" s="2">
        <v>400500</v>
      </c>
    </row>
    <row r="1074" spans="1:4" s="6" customFormat="1" x14ac:dyDescent="0.25">
      <c r="B1074" s="6" t="str">
        <f>T("   Total Monde")</f>
        <v xml:space="preserve">   Total Monde</v>
      </c>
      <c r="C1074" s="1">
        <v>105</v>
      </c>
      <c r="D1074" s="1">
        <v>400500</v>
      </c>
    </row>
    <row r="1075" spans="1:4" s="6" customFormat="1" x14ac:dyDescent="0.25">
      <c r="A1075" s="6" t="str">
        <f>T("621030")</f>
        <v>621030</v>
      </c>
      <c r="B1075" s="6" t="str">
        <f>T("AUTRES VETEMENTS, DES TYPES VISES DANS LES N°S 6202.11 A 6202.19")</f>
        <v>AUTRES VETEMENTS, DES TYPES VISES DANS LES N°S 6202.11 A 6202.19</v>
      </c>
      <c r="C1075" s="1"/>
      <c r="D1075" s="1"/>
    </row>
    <row r="1076" spans="1:4" x14ac:dyDescent="0.25">
      <c r="B1076" t="str">
        <f>T("   Espagne")</f>
        <v xml:space="preserve">   Espagne</v>
      </c>
      <c r="C1076" s="2">
        <v>2861</v>
      </c>
      <c r="D1076" s="2">
        <v>38045680</v>
      </c>
    </row>
    <row r="1077" spans="1:4" s="6" customFormat="1" x14ac:dyDescent="0.25">
      <c r="B1077" s="6" t="str">
        <f>T("   Total Monde")</f>
        <v xml:space="preserve">   Total Monde</v>
      </c>
      <c r="C1077" s="1">
        <v>2861</v>
      </c>
      <c r="D1077" s="1">
        <v>38045680</v>
      </c>
    </row>
    <row r="1078" spans="1:4" s="6" customFormat="1" x14ac:dyDescent="0.25">
      <c r="A1078" s="6" t="str">
        <f>T("621040")</f>
        <v>621040</v>
      </c>
      <c r="B1078" s="6" t="str">
        <f>T("AUTRES VETEMENTS POUR HOMMES OU GARCONNETS")</f>
        <v>AUTRES VETEMENTS POUR HOMMES OU GARCONNETS</v>
      </c>
      <c r="C1078" s="1"/>
      <c r="D1078" s="1"/>
    </row>
    <row r="1079" spans="1:4" x14ac:dyDescent="0.25">
      <c r="B1079" t="str">
        <f>T("   Canada")</f>
        <v xml:space="preserve">   Canada</v>
      </c>
      <c r="C1079" s="2">
        <v>630</v>
      </c>
      <c r="D1079" s="2">
        <v>1000000</v>
      </c>
    </row>
    <row r="1080" spans="1:4" x14ac:dyDescent="0.25">
      <c r="B1080" t="str">
        <f>T("   France")</f>
        <v xml:space="preserve">   France</v>
      </c>
      <c r="C1080" s="2">
        <v>79</v>
      </c>
      <c r="D1080" s="2">
        <v>1082481</v>
      </c>
    </row>
    <row r="1081" spans="1:4" x14ac:dyDescent="0.25">
      <c r="B1081" t="str">
        <f>T("   Inde")</f>
        <v xml:space="preserve">   Inde</v>
      </c>
      <c r="C1081" s="2">
        <v>21000</v>
      </c>
      <c r="D1081" s="2">
        <v>3000000</v>
      </c>
    </row>
    <row r="1082" spans="1:4" x14ac:dyDescent="0.25">
      <c r="B1082" t="str">
        <f>T("   Sénégal")</f>
        <v xml:space="preserve">   Sénégal</v>
      </c>
      <c r="C1082" s="2">
        <v>3800</v>
      </c>
      <c r="D1082" s="2">
        <v>18685000</v>
      </c>
    </row>
    <row r="1083" spans="1:4" s="6" customFormat="1" x14ac:dyDescent="0.25">
      <c r="B1083" s="6" t="str">
        <f>T("   Total Monde")</f>
        <v xml:space="preserve">   Total Monde</v>
      </c>
      <c r="C1083" s="1">
        <v>25509</v>
      </c>
      <c r="D1083" s="1">
        <v>23767481</v>
      </c>
    </row>
    <row r="1084" spans="1:4" s="6" customFormat="1" x14ac:dyDescent="0.25">
      <c r="A1084" s="6" t="str">
        <f>T("621050")</f>
        <v>621050</v>
      </c>
      <c r="B1084" s="6" t="str">
        <f>T("AUTRES VETEMENTS POUR FEMMES OU FILLETTES")</f>
        <v>AUTRES VETEMENTS POUR FEMMES OU FILLETTES</v>
      </c>
      <c r="C1084" s="1"/>
      <c r="D1084" s="1"/>
    </row>
    <row r="1085" spans="1:4" x14ac:dyDescent="0.25">
      <c r="B1085" t="str">
        <f>T("   Congo (Brazzaville)")</f>
        <v xml:space="preserve">   Congo (Brazzaville)</v>
      </c>
      <c r="C1085" s="2">
        <v>341.5</v>
      </c>
      <c r="D1085" s="2">
        <v>2500000</v>
      </c>
    </row>
    <row r="1086" spans="1:4" s="6" customFormat="1" x14ac:dyDescent="0.25">
      <c r="B1086" s="6" t="str">
        <f>T("   Total Monde")</f>
        <v xml:space="preserve">   Total Monde</v>
      </c>
      <c r="C1086" s="1">
        <v>341.5</v>
      </c>
      <c r="D1086" s="1">
        <v>2500000</v>
      </c>
    </row>
    <row r="1087" spans="1:4" s="6" customFormat="1" x14ac:dyDescent="0.25">
      <c r="A1087" s="6" t="str">
        <f>T("621490")</f>
        <v>621490</v>
      </c>
      <c r="B1087" s="6" t="str">
        <f>T("D'AUTRES MATIERES TEXTILES")</f>
        <v>D'AUTRES MATIERES TEXTILES</v>
      </c>
      <c r="C1087" s="1"/>
      <c r="D1087" s="1"/>
    </row>
    <row r="1088" spans="1:4" x14ac:dyDescent="0.25">
      <c r="B1088" t="str">
        <f>T("   Guinée Equatoriale")</f>
        <v xml:space="preserve">   Guinée Equatoriale</v>
      </c>
      <c r="C1088" s="2">
        <v>85</v>
      </c>
      <c r="D1088" s="2">
        <v>100000</v>
      </c>
    </row>
    <row r="1089" spans="1:4" s="6" customFormat="1" x14ac:dyDescent="0.25">
      <c r="B1089" s="6" t="str">
        <f>T("   Total Monde")</f>
        <v xml:space="preserve">   Total Monde</v>
      </c>
      <c r="C1089" s="1">
        <v>85</v>
      </c>
      <c r="D1089" s="1">
        <v>100000</v>
      </c>
    </row>
    <row r="1090" spans="1:4" s="6" customFormat="1" x14ac:dyDescent="0.25">
      <c r="A1090" s="6" t="str">
        <f>T("630259")</f>
        <v>630259</v>
      </c>
      <c r="B1090" s="6" t="str">
        <f>T("D'AUTRES MATIERES TEXTILES")</f>
        <v>D'AUTRES MATIERES TEXTILES</v>
      </c>
      <c r="C1090" s="1"/>
      <c r="D1090" s="1"/>
    </row>
    <row r="1091" spans="1:4" x14ac:dyDescent="0.25">
      <c r="B1091" t="str">
        <f>T("   Togo")</f>
        <v xml:space="preserve">   Togo</v>
      </c>
      <c r="C1091" s="2">
        <v>2500</v>
      </c>
      <c r="D1091" s="2">
        <v>885816</v>
      </c>
    </row>
    <row r="1092" spans="1:4" s="6" customFormat="1" x14ac:dyDescent="0.25">
      <c r="B1092" s="6" t="str">
        <f>T("   Total Monde")</f>
        <v xml:space="preserve">   Total Monde</v>
      </c>
      <c r="C1092" s="1">
        <v>2500</v>
      </c>
      <c r="D1092" s="1">
        <v>885816</v>
      </c>
    </row>
    <row r="1093" spans="1:4" s="6" customFormat="1" x14ac:dyDescent="0.25">
      <c r="A1093" s="6" t="str">
        <f>T("630299")</f>
        <v>630299</v>
      </c>
      <c r="B1093" s="6" t="str">
        <f>T("D'AUTRES MATIERES TEXTILES")</f>
        <v>D'AUTRES MATIERES TEXTILES</v>
      </c>
      <c r="C1093" s="1"/>
      <c r="D1093" s="1"/>
    </row>
    <row r="1094" spans="1:4" x14ac:dyDescent="0.25">
      <c r="B1094" t="str">
        <f>T("   France")</f>
        <v xml:space="preserve">   France</v>
      </c>
      <c r="C1094" s="2">
        <v>45</v>
      </c>
      <c r="D1094" s="2">
        <v>365639</v>
      </c>
    </row>
    <row r="1095" spans="1:4" s="6" customFormat="1" x14ac:dyDescent="0.25">
      <c r="B1095" s="6" t="str">
        <f>T("   Total Monde")</f>
        <v xml:space="preserve">   Total Monde</v>
      </c>
      <c r="C1095" s="1">
        <v>45</v>
      </c>
      <c r="D1095" s="1">
        <v>365639</v>
      </c>
    </row>
    <row r="1096" spans="1:4" s="6" customFormat="1" x14ac:dyDescent="0.25">
      <c r="A1096" s="6" t="str">
        <f>T("630319")</f>
        <v>630319</v>
      </c>
      <c r="B1096" s="6" t="str">
        <f>T("D'AUTRES MATIERES TEXTILES")</f>
        <v>D'AUTRES MATIERES TEXTILES</v>
      </c>
      <c r="C1096" s="1"/>
      <c r="D1096" s="1"/>
    </row>
    <row r="1097" spans="1:4" x14ac:dyDescent="0.25">
      <c r="B1097" t="str">
        <f>T("   Togo")</f>
        <v xml:space="preserve">   Togo</v>
      </c>
      <c r="C1097" s="2">
        <v>1500</v>
      </c>
      <c r="D1097" s="2">
        <v>712175</v>
      </c>
    </row>
    <row r="1098" spans="1:4" s="6" customFormat="1" x14ac:dyDescent="0.25">
      <c r="B1098" s="6" t="str">
        <f>T("   Total Monde")</f>
        <v xml:space="preserve">   Total Monde</v>
      </c>
      <c r="C1098" s="1">
        <v>1500</v>
      </c>
      <c r="D1098" s="1">
        <v>712175</v>
      </c>
    </row>
    <row r="1099" spans="1:4" s="6" customFormat="1" x14ac:dyDescent="0.25">
      <c r="A1099" s="6" t="str">
        <f>T("630510")</f>
        <v>630510</v>
      </c>
      <c r="B1099" s="6" t="str">
        <f>T("DE JUTE OU D'AUTRES FIBRES TEXTILES LIBERIENNES DU N° 53.03")</f>
        <v>DE JUTE OU D'AUTRES FIBRES TEXTILES LIBERIENNES DU N° 53.03</v>
      </c>
      <c r="C1099" s="1"/>
      <c r="D1099" s="1"/>
    </row>
    <row r="1100" spans="1:4" x14ac:dyDescent="0.25">
      <c r="B1100" t="str">
        <f>T("   Emirats Arabes Unis")</f>
        <v xml:space="preserve">   Emirats Arabes Unis</v>
      </c>
      <c r="C1100" s="2">
        <v>1287</v>
      </c>
      <c r="D1100" s="2">
        <v>792328</v>
      </c>
    </row>
    <row r="1101" spans="1:4" x14ac:dyDescent="0.25">
      <c r="B1101" t="str">
        <f>T("   Chine")</f>
        <v xml:space="preserve">   Chine</v>
      </c>
      <c r="C1101" s="2">
        <v>33241</v>
      </c>
      <c r="D1101" s="2">
        <v>16827522</v>
      </c>
    </row>
    <row r="1102" spans="1:4" x14ac:dyDescent="0.25">
      <c r="B1102" t="str">
        <f>T("   Hong-Kong")</f>
        <v xml:space="preserve">   Hong-Kong</v>
      </c>
      <c r="C1102" s="2">
        <v>18637</v>
      </c>
      <c r="D1102" s="2">
        <v>10282469</v>
      </c>
    </row>
    <row r="1103" spans="1:4" x14ac:dyDescent="0.25">
      <c r="B1103" t="str">
        <f>T("   Inde")</f>
        <v xml:space="preserve">   Inde</v>
      </c>
      <c r="C1103" s="2">
        <v>181258.58</v>
      </c>
      <c r="D1103" s="2">
        <v>158768395</v>
      </c>
    </row>
    <row r="1104" spans="1:4" x14ac:dyDescent="0.25">
      <c r="B1104" t="str">
        <f>T("   Vietnam")</f>
        <v xml:space="preserve">   Vietnam</v>
      </c>
      <c r="C1104" s="2">
        <v>6430</v>
      </c>
      <c r="D1104" s="2">
        <v>3961637</v>
      </c>
    </row>
    <row r="1105" spans="1:4" x14ac:dyDescent="0.25">
      <c r="B1105" t="str">
        <f>T("   Afrique du Sud")</f>
        <v xml:space="preserve">   Afrique du Sud</v>
      </c>
      <c r="C1105" s="2">
        <v>3215</v>
      </c>
      <c r="D1105" s="2">
        <v>1980819</v>
      </c>
    </row>
    <row r="1106" spans="1:4" s="6" customFormat="1" x14ac:dyDescent="0.25">
      <c r="B1106" s="6" t="str">
        <f>T("   Total Monde")</f>
        <v xml:space="preserve">   Total Monde</v>
      </c>
      <c r="C1106" s="1">
        <v>244068.58</v>
      </c>
      <c r="D1106" s="1">
        <v>192613170</v>
      </c>
    </row>
    <row r="1107" spans="1:4" s="6" customFormat="1" x14ac:dyDescent="0.25">
      <c r="A1107" s="6" t="str">
        <f>T("630612")</f>
        <v>630612</v>
      </c>
      <c r="B1107" s="6" t="str">
        <f>T("DE FIBRES SYNTHETIQUES")</f>
        <v>DE FIBRES SYNTHETIQUES</v>
      </c>
      <c r="C1107" s="1"/>
      <c r="D1107" s="1"/>
    </row>
    <row r="1108" spans="1:4" x14ac:dyDescent="0.25">
      <c r="B1108" t="str">
        <f>T("   Guinée Equatoriale")</f>
        <v xml:space="preserve">   Guinée Equatoriale</v>
      </c>
      <c r="C1108" s="2">
        <v>1269</v>
      </c>
      <c r="D1108" s="2">
        <v>6298405</v>
      </c>
    </row>
    <row r="1109" spans="1:4" s="6" customFormat="1" x14ac:dyDescent="0.25">
      <c r="B1109" s="6" t="str">
        <f>T("   Total Monde")</f>
        <v xml:space="preserve">   Total Monde</v>
      </c>
      <c r="C1109" s="1">
        <v>1269</v>
      </c>
      <c r="D1109" s="1">
        <v>6298405</v>
      </c>
    </row>
    <row r="1110" spans="1:4" s="6" customFormat="1" x14ac:dyDescent="0.25">
      <c r="A1110" s="6" t="str">
        <f>T("630629")</f>
        <v>630629</v>
      </c>
      <c r="B1110" s="6" t="str">
        <f>T("D'AUTRES MATIERES TEXTILES")</f>
        <v>D'AUTRES MATIERES TEXTILES</v>
      </c>
      <c r="C1110" s="1"/>
      <c r="D1110" s="1"/>
    </row>
    <row r="1111" spans="1:4" x14ac:dyDescent="0.25">
      <c r="B1111" t="str">
        <f>T("   Koweit")</f>
        <v xml:space="preserve">   Koweit</v>
      </c>
      <c r="C1111" s="2">
        <v>2039</v>
      </c>
      <c r="D1111" s="2">
        <v>1650000</v>
      </c>
    </row>
    <row r="1112" spans="1:4" s="6" customFormat="1" x14ac:dyDescent="0.25">
      <c r="B1112" s="6" t="str">
        <f>T("   Total Monde")</f>
        <v xml:space="preserve">   Total Monde</v>
      </c>
      <c r="C1112" s="1">
        <v>2039</v>
      </c>
      <c r="D1112" s="1">
        <v>1650000</v>
      </c>
    </row>
    <row r="1113" spans="1:4" s="6" customFormat="1" x14ac:dyDescent="0.25">
      <c r="A1113" s="6" t="str">
        <f>T("630649")</f>
        <v>630649</v>
      </c>
      <c r="B1113" s="6" t="str">
        <f>T("MATELAS PNEUMATIQUES D'AUTRES MATIERES TEXTILES")</f>
        <v>MATELAS PNEUMATIQUES D'AUTRES MATIERES TEXTILES</v>
      </c>
      <c r="C1113" s="1"/>
      <c r="D1113" s="1"/>
    </row>
    <row r="1114" spans="1:4" x14ac:dyDescent="0.25">
      <c r="B1114" t="str">
        <f>T("   Monaco")</f>
        <v xml:space="preserve">   Monaco</v>
      </c>
      <c r="C1114" s="2">
        <v>341</v>
      </c>
      <c r="D1114" s="2">
        <v>300000</v>
      </c>
    </row>
    <row r="1115" spans="1:4" x14ac:dyDescent="0.25">
      <c r="B1115" t="str">
        <f>T("   Suède")</f>
        <v xml:space="preserve">   Suède</v>
      </c>
      <c r="C1115" s="2">
        <v>130</v>
      </c>
      <c r="D1115" s="2">
        <v>300000</v>
      </c>
    </row>
    <row r="1116" spans="1:4" s="6" customFormat="1" x14ac:dyDescent="0.25">
      <c r="B1116" s="6" t="str">
        <f>T("   Total Monde")</f>
        <v xml:space="preserve">   Total Monde</v>
      </c>
      <c r="C1116" s="1">
        <v>471</v>
      </c>
      <c r="D1116" s="1">
        <v>600000</v>
      </c>
    </row>
    <row r="1117" spans="1:4" s="6" customFormat="1" x14ac:dyDescent="0.25">
      <c r="A1117" s="6" t="str">
        <f>T("630720")</f>
        <v>630720</v>
      </c>
      <c r="B1117" s="6" t="str">
        <f>T("CEINTURES ET GILETS DE SAUVETAGE")</f>
        <v>CEINTURES ET GILETS DE SAUVETAGE</v>
      </c>
      <c r="C1117" s="1"/>
      <c r="D1117" s="1"/>
    </row>
    <row r="1118" spans="1:4" x14ac:dyDescent="0.25">
      <c r="B1118" t="str">
        <f>T("   Danemark")</f>
        <v xml:space="preserve">   Danemark</v>
      </c>
      <c r="C1118" s="2">
        <v>2</v>
      </c>
      <c r="D1118" s="2">
        <v>92609</v>
      </c>
    </row>
    <row r="1119" spans="1:4" s="6" customFormat="1" x14ac:dyDescent="0.25">
      <c r="B1119" s="6" t="str">
        <f>T("   Total Monde")</f>
        <v xml:space="preserve">   Total Monde</v>
      </c>
      <c r="C1119" s="1">
        <v>2</v>
      </c>
      <c r="D1119" s="1">
        <v>92609</v>
      </c>
    </row>
    <row r="1120" spans="1:4" s="6" customFormat="1" x14ac:dyDescent="0.25">
      <c r="A1120" s="6" t="str">
        <f>T("630800")</f>
        <v>630800</v>
      </c>
      <c r="B1120" s="6" t="str">
        <f>T("ASSORTIMENTS COMPOSES DE PIECES DE TISSUS ET DE FILS, MEME AVEC ACCESSOIRES, POUR LA CO")</f>
        <v>ASSORTIMENTS COMPOSES DE PIECES DE TISSUS ET DE FILS, MEME AVEC ACCESSOIRES, POUR LA CO</v>
      </c>
      <c r="C1120" s="1"/>
      <c r="D1120" s="1"/>
    </row>
    <row r="1121" spans="1:4" x14ac:dyDescent="0.25">
      <c r="B1121" t="str">
        <f>T("   France")</f>
        <v xml:space="preserve">   France</v>
      </c>
      <c r="C1121" s="2">
        <v>23</v>
      </c>
      <c r="D1121" s="2">
        <v>75134</v>
      </c>
    </row>
    <row r="1122" spans="1:4" s="6" customFormat="1" x14ac:dyDescent="0.25">
      <c r="B1122" s="6" t="str">
        <f>T("   Total Monde")</f>
        <v xml:space="preserve">   Total Monde</v>
      </c>
      <c r="C1122" s="1">
        <v>23</v>
      </c>
      <c r="D1122" s="1">
        <v>75134</v>
      </c>
    </row>
    <row r="1123" spans="1:4" s="6" customFormat="1" x14ac:dyDescent="0.25">
      <c r="A1123" s="6" t="str">
        <f>T("630900")</f>
        <v>630900</v>
      </c>
      <c r="B1123" s="6" t="str">
        <f>T("ARTICLES DE FRIPERIE.")</f>
        <v>ARTICLES DE FRIPERIE.</v>
      </c>
      <c r="C1123" s="1"/>
      <c r="D1123" s="1"/>
    </row>
    <row r="1124" spans="1:4" x14ac:dyDescent="0.25">
      <c r="B1124" t="str">
        <f>T("   Chine")</f>
        <v xml:space="preserve">   Chine</v>
      </c>
      <c r="C1124" s="2">
        <v>11000</v>
      </c>
      <c r="D1124" s="2">
        <v>2450000</v>
      </c>
    </row>
    <row r="1125" spans="1:4" x14ac:dyDescent="0.25">
      <c r="B1125" t="str">
        <f>T("   Gabon")</f>
        <v xml:space="preserve">   Gabon</v>
      </c>
      <c r="C1125" s="2">
        <v>7500</v>
      </c>
      <c r="D1125" s="2">
        <v>270000</v>
      </c>
    </row>
    <row r="1126" spans="1:4" x14ac:dyDescent="0.25">
      <c r="B1126" t="str">
        <f>T("   Guinée")</f>
        <v xml:space="preserve">   Guinée</v>
      </c>
      <c r="C1126" s="2">
        <v>250</v>
      </c>
      <c r="D1126" s="2">
        <v>500000</v>
      </c>
    </row>
    <row r="1127" spans="1:4" x14ac:dyDescent="0.25">
      <c r="B1127" t="str">
        <f>T("   Niger")</f>
        <v xml:space="preserve">   Niger</v>
      </c>
      <c r="C1127" s="2">
        <v>340</v>
      </c>
      <c r="D1127" s="2">
        <v>1420000</v>
      </c>
    </row>
    <row r="1128" spans="1:4" x14ac:dyDescent="0.25">
      <c r="B1128" t="str">
        <f>T("   Togo")</f>
        <v xml:space="preserve">   Togo</v>
      </c>
      <c r="C1128" s="2">
        <v>25000</v>
      </c>
      <c r="D1128" s="2">
        <v>9826280</v>
      </c>
    </row>
    <row r="1129" spans="1:4" s="6" customFormat="1" x14ac:dyDescent="0.25">
      <c r="B1129" s="6" t="str">
        <f>T("   Total Monde")</f>
        <v xml:space="preserve">   Total Monde</v>
      </c>
      <c r="C1129" s="1">
        <v>44090</v>
      </c>
      <c r="D1129" s="1">
        <v>14466280</v>
      </c>
    </row>
    <row r="1130" spans="1:4" s="6" customFormat="1" x14ac:dyDescent="0.25">
      <c r="A1130" s="6" t="str">
        <f>T("640319")</f>
        <v>640319</v>
      </c>
      <c r="B1130" s="6" t="str">
        <f>T("AUTRES")</f>
        <v>AUTRES</v>
      </c>
      <c r="C1130" s="1"/>
      <c r="D1130" s="1"/>
    </row>
    <row r="1131" spans="1:4" x14ac:dyDescent="0.25">
      <c r="B1131" t="str">
        <f>T("   Gabon")</f>
        <v xml:space="preserve">   Gabon</v>
      </c>
      <c r="C1131" s="2">
        <v>1040</v>
      </c>
      <c r="D1131" s="2">
        <v>975000</v>
      </c>
    </row>
    <row r="1132" spans="1:4" s="6" customFormat="1" x14ac:dyDescent="0.25">
      <c r="B1132" s="6" t="str">
        <f>T("   Total Monde")</f>
        <v xml:space="preserve">   Total Monde</v>
      </c>
      <c r="C1132" s="1">
        <v>1040</v>
      </c>
      <c r="D1132" s="1">
        <v>975000</v>
      </c>
    </row>
    <row r="1133" spans="1:4" s="6" customFormat="1" x14ac:dyDescent="0.25">
      <c r="A1133" s="6" t="str">
        <f>T("640590")</f>
        <v>640590</v>
      </c>
      <c r="B1133" s="6" t="str">
        <f>T("AUTRES")</f>
        <v>AUTRES</v>
      </c>
      <c r="C1133" s="1"/>
      <c r="D1133" s="1"/>
    </row>
    <row r="1134" spans="1:4" x14ac:dyDescent="0.25">
      <c r="B1134" t="str">
        <f>T("   Guinée Equatoriale")</f>
        <v xml:space="preserve">   Guinée Equatoriale</v>
      </c>
      <c r="C1134" s="2">
        <v>300</v>
      </c>
      <c r="D1134" s="2">
        <v>209999</v>
      </c>
    </row>
    <row r="1135" spans="1:4" x14ac:dyDescent="0.25">
      <c r="B1135" t="str">
        <f>T("   Pays-bas")</f>
        <v xml:space="preserve">   Pays-bas</v>
      </c>
      <c r="C1135" s="2">
        <v>17000</v>
      </c>
      <c r="D1135" s="2">
        <v>46171318</v>
      </c>
    </row>
    <row r="1136" spans="1:4" s="6" customFormat="1" x14ac:dyDescent="0.25">
      <c r="B1136" s="6" t="str">
        <f>T("   Total Monde")</f>
        <v xml:space="preserve">   Total Monde</v>
      </c>
      <c r="C1136" s="1">
        <v>17300</v>
      </c>
      <c r="D1136" s="1">
        <v>46381317</v>
      </c>
    </row>
    <row r="1137" spans="1:4" s="6" customFormat="1" x14ac:dyDescent="0.25">
      <c r="A1137" s="6" t="str">
        <f>T("670419")</f>
        <v>670419</v>
      </c>
      <c r="B1137" s="6" t="str">
        <f>T("AUTRES")</f>
        <v>AUTRES</v>
      </c>
      <c r="C1137" s="1"/>
      <c r="D1137" s="1"/>
    </row>
    <row r="1138" spans="1:4" x14ac:dyDescent="0.25">
      <c r="B1138" t="str">
        <f>T("   Gabon")</f>
        <v xml:space="preserve">   Gabon</v>
      </c>
      <c r="C1138" s="2">
        <v>6070</v>
      </c>
      <c r="D1138" s="2">
        <v>3000000</v>
      </c>
    </row>
    <row r="1139" spans="1:4" s="6" customFormat="1" x14ac:dyDescent="0.25">
      <c r="B1139" s="6" t="str">
        <f>T("   Total Monde")</f>
        <v xml:space="preserve">   Total Monde</v>
      </c>
      <c r="C1139" s="1">
        <v>6070</v>
      </c>
      <c r="D1139" s="1">
        <v>3000000</v>
      </c>
    </row>
    <row r="1140" spans="1:4" s="6" customFormat="1" x14ac:dyDescent="0.25">
      <c r="A1140" s="6" t="str">
        <f>T("680229")</f>
        <v>680229</v>
      </c>
      <c r="B1140" s="6" t="str">
        <f>T("AUTRES PIERRES")</f>
        <v>AUTRES PIERRES</v>
      </c>
      <c r="C1140" s="1"/>
      <c r="D1140" s="1"/>
    </row>
    <row r="1141" spans="1:4" x14ac:dyDescent="0.25">
      <c r="B1141" t="str">
        <f>T("   Etats-Unis")</f>
        <v xml:space="preserve">   Etats-Unis</v>
      </c>
      <c r="C1141" s="2">
        <v>24950</v>
      </c>
      <c r="D1141" s="2">
        <v>2000000</v>
      </c>
    </row>
    <row r="1142" spans="1:4" s="6" customFormat="1" x14ac:dyDescent="0.25">
      <c r="B1142" s="6" t="str">
        <f>T("   Total Monde")</f>
        <v xml:space="preserve">   Total Monde</v>
      </c>
      <c r="C1142" s="1">
        <v>24950</v>
      </c>
      <c r="D1142" s="1">
        <v>2000000</v>
      </c>
    </row>
    <row r="1143" spans="1:4" s="6" customFormat="1" x14ac:dyDescent="0.25">
      <c r="A1143" s="6" t="str">
        <f>T("680430")</f>
        <v>680430</v>
      </c>
      <c r="B1143" s="6" t="str">
        <f>T("Pierres a aiguiser ou a polir a la main")</f>
        <v>Pierres a aiguiser ou a polir a la main</v>
      </c>
      <c r="C1143" s="1"/>
      <c r="D1143" s="1"/>
    </row>
    <row r="1144" spans="1:4" x14ac:dyDescent="0.25">
      <c r="B1144" t="str">
        <f>T("   France")</f>
        <v xml:space="preserve">   France</v>
      </c>
      <c r="C1144" s="2">
        <v>18000</v>
      </c>
      <c r="D1144" s="2">
        <v>700000</v>
      </c>
    </row>
    <row r="1145" spans="1:4" s="6" customFormat="1" x14ac:dyDescent="0.25">
      <c r="B1145" s="6" t="str">
        <f>T("   Total Monde")</f>
        <v xml:space="preserve">   Total Monde</v>
      </c>
      <c r="C1145" s="1">
        <v>18000</v>
      </c>
      <c r="D1145" s="1">
        <v>700000</v>
      </c>
    </row>
    <row r="1146" spans="1:4" s="6" customFormat="1" x14ac:dyDescent="0.25">
      <c r="A1146" s="6" t="str">
        <f>T("681019")</f>
        <v>681019</v>
      </c>
      <c r="B1146" s="6" t="str">
        <f>T("AUTRES")</f>
        <v>AUTRES</v>
      </c>
      <c r="C1146" s="1"/>
      <c r="D1146" s="1"/>
    </row>
    <row r="1147" spans="1:4" x14ac:dyDescent="0.25">
      <c r="B1147" t="str">
        <f>T("   France")</f>
        <v xml:space="preserve">   France</v>
      </c>
      <c r="C1147" s="2">
        <v>100625</v>
      </c>
      <c r="D1147" s="2">
        <v>8669400</v>
      </c>
    </row>
    <row r="1148" spans="1:4" x14ac:dyDescent="0.25">
      <c r="B1148" t="str">
        <f>T("   Togo")</f>
        <v xml:space="preserve">   Togo</v>
      </c>
      <c r="C1148" s="2">
        <v>644932.5</v>
      </c>
      <c r="D1148" s="2">
        <v>60274600</v>
      </c>
    </row>
    <row r="1149" spans="1:4" s="6" customFormat="1" x14ac:dyDescent="0.25">
      <c r="B1149" s="6" t="str">
        <f>T("   Total Monde")</f>
        <v xml:space="preserve">   Total Monde</v>
      </c>
      <c r="C1149" s="1">
        <v>745557.5</v>
      </c>
      <c r="D1149" s="1">
        <v>68944000</v>
      </c>
    </row>
    <row r="1150" spans="1:4" s="6" customFormat="1" x14ac:dyDescent="0.25">
      <c r="A1150" s="6" t="str">
        <f>T("681099")</f>
        <v>681099</v>
      </c>
      <c r="B1150" s="6" t="str">
        <f>T("AUTRES")</f>
        <v>AUTRES</v>
      </c>
      <c r="C1150" s="1"/>
      <c r="D1150" s="1"/>
    </row>
    <row r="1151" spans="1:4" x14ac:dyDescent="0.25">
      <c r="B1151" t="str">
        <f>T("   Gabon")</f>
        <v xml:space="preserve">   Gabon</v>
      </c>
      <c r="C1151" s="2">
        <v>1220</v>
      </c>
      <c r="D1151" s="2">
        <v>6887580</v>
      </c>
    </row>
    <row r="1152" spans="1:4" s="6" customFormat="1" x14ac:dyDescent="0.25">
      <c r="B1152" s="6" t="str">
        <f>T("   Total Monde")</f>
        <v xml:space="preserve">   Total Monde</v>
      </c>
      <c r="C1152" s="1">
        <v>1220</v>
      </c>
      <c r="D1152" s="1">
        <v>6887580</v>
      </c>
    </row>
    <row r="1153" spans="1:4" s="6" customFormat="1" x14ac:dyDescent="0.25">
      <c r="A1153" s="6" t="str">
        <f>T("690890")</f>
        <v>690890</v>
      </c>
      <c r="B1153" s="6" t="str">
        <f>T("AUTRES")</f>
        <v>AUTRES</v>
      </c>
      <c r="C1153" s="1"/>
      <c r="D1153" s="1"/>
    </row>
    <row r="1154" spans="1:4" x14ac:dyDescent="0.25">
      <c r="B1154" t="str">
        <f>T("   Burkina Faso")</f>
        <v xml:space="preserve">   Burkina Faso</v>
      </c>
      <c r="C1154" s="2">
        <v>6000</v>
      </c>
      <c r="D1154" s="2">
        <v>1200000</v>
      </c>
    </row>
    <row r="1155" spans="1:4" s="6" customFormat="1" x14ac:dyDescent="0.25">
      <c r="B1155" s="6" t="str">
        <f>T("   Total Monde")</f>
        <v xml:space="preserve">   Total Monde</v>
      </c>
      <c r="C1155" s="1">
        <v>6000</v>
      </c>
      <c r="D1155" s="1">
        <v>1200000</v>
      </c>
    </row>
    <row r="1156" spans="1:4" s="6" customFormat="1" x14ac:dyDescent="0.25">
      <c r="A1156" s="6" t="str">
        <f>T("691090")</f>
        <v>691090</v>
      </c>
      <c r="B1156" s="6" t="str">
        <f>T("AUTRES")</f>
        <v>AUTRES</v>
      </c>
      <c r="C1156" s="1"/>
      <c r="D1156" s="1"/>
    </row>
    <row r="1157" spans="1:4" x14ac:dyDescent="0.25">
      <c r="B1157" t="str">
        <f>T("   Allemagne")</f>
        <v xml:space="preserve">   Allemagne</v>
      </c>
      <c r="C1157" s="2">
        <v>6390</v>
      </c>
      <c r="D1157" s="2">
        <v>24216731</v>
      </c>
    </row>
    <row r="1158" spans="1:4" s="6" customFormat="1" x14ac:dyDescent="0.25">
      <c r="B1158" s="6" t="str">
        <f>T("   Total Monde")</f>
        <v xml:space="preserve">   Total Monde</v>
      </c>
      <c r="C1158" s="1">
        <v>6390</v>
      </c>
      <c r="D1158" s="1">
        <v>24216731</v>
      </c>
    </row>
    <row r="1159" spans="1:4" s="6" customFormat="1" x14ac:dyDescent="0.25">
      <c r="A1159" s="6" t="str">
        <f>T("691200")</f>
        <v>691200</v>
      </c>
      <c r="B1159" s="6" t="str">
        <f>T("VAISSELLE, AUTRES ARTICLES DE MENAGE OU D'ECONOMIE DOMESTIQUE ET ARTICLES D'HYGIENE OU")</f>
        <v>VAISSELLE, AUTRES ARTICLES DE MENAGE OU D'ECONOMIE DOMESTIQUE ET ARTICLES D'HYGIENE OU</v>
      </c>
      <c r="C1159" s="1"/>
      <c r="D1159" s="1"/>
    </row>
    <row r="1160" spans="1:4" x14ac:dyDescent="0.25">
      <c r="B1160" t="str">
        <f>T("   Guinée Equatoriale")</f>
        <v xml:space="preserve">   Guinée Equatoriale</v>
      </c>
      <c r="C1160" s="2">
        <v>200</v>
      </c>
      <c r="D1160" s="2">
        <v>99706</v>
      </c>
    </row>
    <row r="1161" spans="1:4" x14ac:dyDescent="0.25">
      <c r="B1161" t="str">
        <f>T("   Sénégal")</f>
        <v xml:space="preserve">   Sénégal</v>
      </c>
      <c r="C1161" s="2">
        <v>427</v>
      </c>
      <c r="D1161" s="2">
        <v>1100000</v>
      </c>
    </row>
    <row r="1162" spans="1:4" s="6" customFormat="1" x14ac:dyDescent="0.25">
      <c r="B1162" s="6" t="str">
        <f>T("   Total Monde")</f>
        <v xml:space="preserve">   Total Monde</v>
      </c>
      <c r="C1162" s="1">
        <v>627</v>
      </c>
      <c r="D1162" s="1">
        <v>1199706</v>
      </c>
    </row>
    <row r="1163" spans="1:4" s="6" customFormat="1" x14ac:dyDescent="0.25">
      <c r="A1163" s="6" t="str">
        <f>T("701090")</f>
        <v>701090</v>
      </c>
      <c r="B1163" s="6" t="str">
        <f>T("AUTRES")</f>
        <v>AUTRES</v>
      </c>
      <c r="C1163" s="1"/>
      <c r="D1163" s="1"/>
    </row>
    <row r="1164" spans="1:4" x14ac:dyDescent="0.25">
      <c r="B1164" t="str">
        <f>T("   Burkina Faso")</f>
        <v xml:space="preserve">   Burkina Faso</v>
      </c>
      <c r="C1164" s="2">
        <v>49000</v>
      </c>
      <c r="D1164" s="2">
        <v>1695750</v>
      </c>
    </row>
    <row r="1165" spans="1:4" x14ac:dyDescent="0.25">
      <c r="B1165" t="str">
        <f>T("   Libyenne, Jamahiriya Arabe")</f>
        <v xml:space="preserve">   Libyenne, Jamahiriya Arabe</v>
      </c>
      <c r="C1165" s="2">
        <v>29433</v>
      </c>
      <c r="D1165" s="2">
        <v>15555058</v>
      </c>
    </row>
    <row r="1166" spans="1:4" s="6" customFormat="1" x14ac:dyDescent="0.25">
      <c r="B1166" s="6" t="str">
        <f>T("   Total Monde")</f>
        <v xml:space="preserve">   Total Monde</v>
      </c>
      <c r="C1166" s="1">
        <v>78433</v>
      </c>
      <c r="D1166" s="1">
        <v>17250808</v>
      </c>
    </row>
    <row r="1167" spans="1:4" s="6" customFormat="1" x14ac:dyDescent="0.25">
      <c r="A1167" s="6" t="str">
        <f>T("701337")</f>
        <v>701337</v>
      </c>
      <c r="B1167" s="6" t="str">
        <f>T("AUTRES")</f>
        <v>AUTRES</v>
      </c>
      <c r="C1167" s="1"/>
      <c r="D1167" s="1"/>
    </row>
    <row r="1168" spans="1:4" x14ac:dyDescent="0.25">
      <c r="B1168" t="str">
        <f>T("   Togo")</f>
        <v xml:space="preserve">   Togo</v>
      </c>
      <c r="C1168" s="2">
        <v>2564</v>
      </c>
      <c r="D1168" s="2">
        <v>950000</v>
      </c>
    </row>
    <row r="1169" spans="1:4" s="6" customFormat="1" x14ac:dyDescent="0.25">
      <c r="B1169" s="6" t="str">
        <f>T("   Total Monde")</f>
        <v xml:space="preserve">   Total Monde</v>
      </c>
      <c r="C1169" s="1">
        <v>2564</v>
      </c>
      <c r="D1169" s="1">
        <v>950000</v>
      </c>
    </row>
    <row r="1170" spans="1:4" s="6" customFormat="1" x14ac:dyDescent="0.25">
      <c r="A1170" s="6" t="str">
        <f>T("701790")</f>
        <v>701790</v>
      </c>
      <c r="B1170" s="6" t="str">
        <f>T("AUTRE")</f>
        <v>AUTRE</v>
      </c>
      <c r="C1170" s="1"/>
      <c r="D1170" s="1"/>
    </row>
    <row r="1171" spans="1:4" x14ac:dyDescent="0.25">
      <c r="B1171" t="str">
        <f>T("   Gabon")</f>
        <v xml:space="preserve">   Gabon</v>
      </c>
      <c r="C1171" s="2">
        <v>1</v>
      </c>
      <c r="D1171" s="2">
        <v>28878</v>
      </c>
    </row>
    <row r="1172" spans="1:4" x14ac:dyDescent="0.25">
      <c r="B1172" t="str">
        <f>T("   Togo")</f>
        <v xml:space="preserve">   Togo</v>
      </c>
      <c r="C1172" s="2">
        <v>2300</v>
      </c>
      <c r="D1172" s="2">
        <v>495238</v>
      </c>
    </row>
    <row r="1173" spans="1:4" s="6" customFormat="1" x14ac:dyDescent="0.25">
      <c r="B1173" s="6" t="str">
        <f>T("   Total Monde")</f>
        <v xml:space="preserve">   Total Monde</v>
      </c>
      <c r="C1173" s="1">
        <v>2301</v>
      </c>
      <c r="D1173" s="1">
        <v>524116</v>
      </c>
    </row>
    <row r="1174" spans="1:4" s="6" customFormat="1" x14ac:dyDescent="0.25">
      <c r="A1174" s="6" t="str">
        <f>T("701911")</f>
        <v>701911</v>
      </c>
      <c r="B1174" s="6" t="str">
        <f>T("FILS COUPES (CHOPPED STRANDS), D'UNE LONGUEUR N'EXCEDANT PAS 50 MM")</f>
        <v>FILS COUPES (CHOPPED STRANDS), D'UNE LONGUEUR N'EXCEDANT PAS 50 MM</v>
      </c>
      <c r="C1174" s="1"/>
      <c r="D1174" s="1"/>
    </row>
    <row r="1175" spans="1:4" x14ac:dyDescent="0.25">
      <c r="B1175" t="str">
        <f>T("   Gabon")</f>
        <v xml:space="preserve">   Gabon</v>
      </c>
      <c r="C1175" s="2">
        <v>11861</v>
      </c>
      <c r="D1175" s="2">
        <v>43815844</v>
      </c>
    </row>
    <row r="1176" spans="1:4" s="6" customFormat="1" x14ac:dyDescent="0.25">
      <c r="B1176" s="6" t="str">
        <f>T("   Total Monde")</f>
        <v xml:space="preserve">   Total Monde</v>
      </c>
      <c r="C1176" s="1">
        <v>11861</v>
      </c>
      <c r="D1176" s="1">
        <v>43815844</v>
      </c>
    </row>
    <row r="1177" spans="1:4" s="6" customFormat="1" x14ac:dyDescent="0.25">
      <c r="A1177" s="6" t="str">
        <f>T("702000")</f>
        <v>702000</v>
      </c>
      <c r="B1177" s="6" t="str">
        <f>T("AUTRES OUVRAGES EN VERRE.")</f>
        <v>AUTRES OUVRAGES EN VERRE.</v>
      </c>
      <c r="C1177" s="1"/>
      <c r="D1177" s="1"/>
    </row>
    <row r="1178" spans="1:4" x14ac:dyDescent="0.25">
      <c r="B1178" t="str">
        <f>T("   Togo")</f>
        <v xml:space="preserve">   Togo</v>
      </c>
      <c r="C1178" s="2">
        <v>8525</v>
      </c>
      <c r="D1178" s="2">
        <v>4098360</v>
      </c>
    </row>
    <row r="1179" spans="1:4" s="6" customFormat="1" x14ac:dyDescent="0.25">
      <c r="B1179" s="6" t="str">
        <f>T("   Total Monde")</f>
        <v xml:space="preserve">   Total Monde</v>
      </c>
      <c r="C1179" s="1">
        <v>8525</v>
      </c>
      <c r="D1179" s="1">
        <v>4098360</v>
      </c>
    </row>
    <row r="1180" spans="1:4" s="6" customFormat="1" x14ac:dyDescent="0.25">
      <c r="A1180" s="6" t="str">
        <f>T("711790")</f>
        <v>711790</v>
      </c>
      <c r="B1180" s="6" t="str">
        <f>T("AUTRES")</f>
        <v>AUTRES</v>
      </c>
      <c r="C1180" s="1"/>
      <c r="D1180" s="1"/>
    </row>
    <row r="1181" spans="1:4" x14ac:dyDescent="0.25">
      <c r="B1181" t="str">
        <f>T("   Etats-Unis")</f>
        <v xml:space="preserve">   Etats-Unis</v>
      </c>
      <c r="C1181" s="2">
        <v>19</v>
      </c>
      <c r="D1181" s="2">
        <v>200000</v>
      </c>
    </row>
    <row r="1182" spans="1:4" s="6" customFormat="1" x14ac:dyDescent="0.25">
      <c r="B1182" s="6" t="str">
        <f>T("   Total Monde")</f>
        <v xml:space="preserve">   Total Monde</v>
      </c>
      <c r="C1182" s="1">
        <v>19</v>
      </c>
      <c r="D1182" s="1">
        <v>200000</v>
      </c>
    </row>
    <row r="1183" spans="1:4" s="6" customFormat="1" x14ac:dyDescent="0.25">
      <c r="A1183" s="6" t="str">
        <f>T("720429")</f>
        <v>720429</v>
      </c>
      <c r="B1183" s="6" t="str">
        <f>T("AUTRES")</f>
        <v>AUTRES</v>
      </c>
      <c r="C1183" s="1"/>
      <c r="D1183" s="1"/>
    </row>
    <row r="1184" spans="1:4" x14ac:dyDescent="0.25">
      <c r="B1184" t="str">
        <f>T("   Emirats Arabes Unis")</f>
        <v xml:space="preserve">   Emirats Arabes Unis</v>
      </c>
      <c r="C1184" s="2">
        <v>225000</v>
      </c>
      <c r="D1184" s="2">
        <v>11250000</v>
      </c>
    </row>
    <row r="1185" spans="2:4" x14ac:dyDescent="0.25">
      <c r="B1185" t="str">
        <f>T("   Belgique")</f>
        <v xml:space="preserve">   Belgique</v>
      </c>
      <c r="C1185" s="2">
        <v>2016</v>
      </c>
      <c r="D1185" s="2">
        <v>500000</v>
      </c>
    </row>
    <row r="1186" spans="2:4" x14ac:dyDescent="0.25">
      <c r="B1186" t="str">
        <f>T("   Chine")</f>
        <v xml:space="preserve">   Chine</v>
      </c>
      <c r="C1186" s="2">
        <v>61306000</v>
      </c>
      <c r="D1186" s="2">
        <v>3071800000</v>
      </c>
    </row>
    <row r="1187" spans="2:4" x14ac:dyDescent="0.25">
      <c r="B1187" t="str">
        <f>T("   Espagne")</f>
        <v xml:space="preserve">   Espagne</v>
      </c>
      <c r="C1187" s="2">
        <v>90000</v>
      </c>
      <c r="D1187" s="2">
        <v>4500000</v>
      </c>
    </row>
    <row r="1188" spans="2:4" x14ac:dyDescent="0.25">
      <c r="B1188" t="str">
        <f>T("   France")</f>
        <v xml:space="preserve">   France</v>
      </c>
      <c r="C1188" s="2">
        <v>20000</v>
      </c>
      <c r="D1188" s="2">
        <v>1000000</v>
      </c>
    </row>
    <row r="1189" spans="2:4" x14ac:dyDescent="0.25">
      <c r="B1189" t="str">
        <f>T("   Ghana")</f>
        <v xml:space="preserve">   Ghana</v>
      </c>
      <c r="C1189" s="2">
        <v>355000</v>
      </c>
      <c r="D1189" s="2">
        <v>98614200</v>
      </c>
    </row>
    <row r="1190" spans="2:4" x14ac:dyDescent="0.25">
      <c r="B1190" t="str">
        <f>T("   Hong-Kong")</f>
        <v xml:space="preserve">   Hong-Kong</v>
      </c>
      <c r="C1190" s="2">
        <v>10000</v>
      </c>
      <c r="D1190" s="2">
        <v>500000</v>
      </c>
    </row>
    <row r="1191" spans="2:4" x14ac:dyDescent="0.25">
      <c r="B1191" t="str">
        <f>T("   Inde")</f>
        <v xml:space="preserve">   Inde</v>
      </c>
      <c r="C1191" s="2">
        <v>24537000</v>
      </c>
      <c r="D1191" s="2">
        <v>1229850000</v>
      </c>
    </row>
    <row r="1192" spans="2:4" x14ac:dyDescent="0.25">
      <c r="B1192" t="str">
        <f>T("   Italie")</f>
        <v xml:space="preserve">   Italie</v>
      </c>
      <c r="C1192" s="2">
        <v>405000</v>
      </c>
      <c r="D1192" s="2">
        <v>20250000</v>
      </c>
    </row>
    <row r="1193" spans="2:4" x14ac:dyDescent="0.25">
      <c r="B1193" t="str">
        <f>T("   Cambodge")</f>
        <v xml:space="preserve">   Cambodge</v>
      </c>
      <c r="C1193" s="2">
        <v>40000</v>
      </c>
      <c r="D1193" s="2">
        <v>2000000</v>
      </c>
    </row>
    <row r="1194" spans="2:4" x14ac:dyDescent="0.25">
      <c r="B1194" t="str">
        <f>T("   Corée, République de")</f>
        <v xml:space="preserve">   Corée, République de</v>
      </c>
      <c r="C1194" s="2">
        <v>670000</v>
      </c>
      <c r="D1194" s="2">
        <v>33500000</v>
      </c>
    </row>
    <row r="1195" spans="2:4" x14ac:dyDescent="0.25">
      <c r="B1195" t="str">
        <f>T("   Liban")</f>
        <v xml:space="preserve">   Liban</v>
      </c>
      <c r="C1195" s="2">
        <v>20000</v>
      </c>
      <c r="D1195" s="2">
        <v>1000000</v>
      </c>
    </row>
    <row r="1196" spans="2:4" x14ac:dyDescent="0.25">
      <c r="B1196" t="str">
        <f>T("   Malaisie")</f>
        <v xml:space="preserve">   Malaisie</v>
      </c>
      <c r="C1196" s="2">
        <v>10000</v>
      </c>
      <c r="D1196" s="2">
        <v>500000</v>
      </c>
    </row>
    <row r="1197" spans="2:4" x14ac:dyDescent="0.25">
      <c r="B1197" t="str">
        <f>T("   Pays-bas")</f>
        <v xml:space="preserve">   Pays-bas</v>
      </c>
      <c r="C1197" s="2">
        <v>55000</v>
      </c>
      <c r="D1197" s="2">
        <v>2750000</v>
      </c>
    </row>
    <row r="1198" spans="2:4" x14ac:dyDescent="0.25">
      <c r="B1198" t="str">
        <f>T("   Arabie Saoudite")</f>
        <v xml:space="preserve">   Arabie Saoudite</v>
      </c>
      <c r="C1198" s="2">
        <v>121000</v>
      </c>
      <c r="D1198" s="2">
        <v>6050000</v>
      </c>
    </row>
    <row r="1199" spans="2:4" x14ac:dyDescent="0.25">
      <c r="B1199" t="str">
        <f>T("   Singapour")</f>
        <v xml:space="preserve">   Singapour</v>
      </c>
      <c r="C1199" s="2">
        <v>786000</v>
      </c>
      <c r="D1199" s="2">
        <v>39300000</v>
      </c>
    </row>
    <row r="1200" spans="2:4" x14ac:dyDescent="0.25">
      <c r="B1200" t="str">
        <f>T("   Taïwan, Province de Chine")</f>
        <v xml:space="preserve">   Taïwan, Province de Chine</v>
      </c>
      <c r="C1200" s="2">
        <v>20000</v>
      </c>
      <c r="D1200" s="2">
        <v>1000000</v>
      </c>
    </row>
    <row r="1201" spans="1:4" x14ac:dyDescent="0.25">
      <c r="B1201" t="str">
        <f>T("   Vietnam")</f>
        <v xml:space="preserve">   Vietnam</v>
      </c>
      <c r="C1201" s="2">
        <v>10566000</v>
      </c>
      <c r="D1201" s="2">
        <v>530800000</v>
      </c>
    </row>
    <row r="1202" spans="1:4" s="6" customFormat="1" x14ac:dyDescent="0.25">
      <c r="B1202" s="6" t="str">
        <f>T("   Total Monde")</f>
        <v xml:space="preserve">   Total Monde</v>
      </c>
      <c r="C1202" s="1">
        <v>99238016</v>
      </c>
      <c r="D1202" s="1">
        <v>5055164200</v>
      </c>
    </row>
    <row r="1203" spans="1:4" s="6" customFormat="1" x14ac:dyDescent="0.25">
      <c r="A1203" s="6" t="str">
        <f>T("720430")</f>
        <v>720430</v>
      </c>
      <c r="B1203" s="6" t="str">
        <f>T("Dechets et debris de fer ou d'acier etames")</f>
        <v>Dechets et debris de fer ou d'acier etames</v>
      </c>
      <c r="C1203" s="1"/>
      <c r="D1203" s="1"/>
    </row>
    <row r="1204" spans="1:4" x14ac:dyDescent="0.25">
      <c r="B1204" t="str">
        <f>T("   Suisse")</f>
        <v xml:space="preserve">   Suisse</v>
      </c>
      <c r="C1204" s="2">
        <v>170000</v>
      </c>
      <c r="D1204" s="2">
        <v>8500000</v>
      </c>
    </row>
    <row r="1205" spans="1:4" x14ac:dyDescent="0.25">
      <c r="B1205" t="str">
        <f>T("   Chine")</f>
        <v xml:space="preserve">   Chine</v>
      </c>
      <c r="C1205" s="2">
        <v>38670000</v>
      </c>
      <c r="D1205" s="2">
        <v>1937500000</v>
      </c>
    </row>
    <row r="1206" spans="1:4" x14ac:dyDescent="0.25">
      <c r="B1206" t="str">
        <f>T("   Espagne")</f>
        <v xml:space="preserve">   Espagne</v>
      </c>
      <c r="C1206" s="2">
        <v>10000</v>
      </c>
      <c r="D1206" s="2">
        <v>500000</v>
      </c>
    </row>
    <row r="1207" spans="1:4" x14ac:dyDescent="0.25">
      <c r="B1207" t="str">
        <f>T("   Inde")</f>
        <v xml:space="preserve">   Inde</v>
      </c>
      <c r="C1207" s="2">
        <v>2400000</v>
      </c>
      <c r="D1207" s="2">
        <v>120000000</v>
      </c>
    </row>
    <row r="1208" spans="1:4" x14ac:dyDescent="0.25">
      <c r="B1208" t="str">
        <f>T("   Corée, République de")</f>
        <v xml:space="preserve">   Corée, République de</v>
      </c>
      <c r="C1208" s="2">
        <v>285000</v>
      </c>
      <c r="D1208" s="2">
        <v>14250000</v>
      </c>
    </row>
    <row r="1209" spans="1:4" x14ac:dyDescent="0.25">
      <c r="B1209" t="str">
        <f>T("   Liban")</f>
        <v xml:space="preserve">   Liban</v>
      </c>
      <c r="C1209" s="2">
        <v>30000</v>
      </c>
      <c r="D1209" s="2">
        <v>1500000</v>
      </c>
    </row>
    <row r="1210" spans="1:4" x14ac:dyDescent="0.25">
      <c r="B1210" t="str">
        <f>T("   Libyenne, Jamahiriya Arabe")</f>
        <v xml:space="preserve">   Libyenne, Jamahiriya Arabe</v>
      </c>
      <c r="C1210" s="2">
        <v>30000</v>
      </c>
      <c r="D1210" s="2">
        <v>1500000</v>
      </c>
    </row>
    <row r="1211" spans="1:4" x14ac:dyDescent="0.25">
      <c r="B1211" t="str">
        <f>T("   Vietnam")</f>
        <v xml:space="preserve">   Vietnam</v>
      </c>
      <c r="C1211" s="2">
        <v>1720000</v>
      </c>
      <c r="D1211" s="2">
        <v>86000000</v>
      </c>
    </row>
    <row r="1212" spans="1:4" s="6" customFormat="1" x14ac:dyDescent="0.25">
      <c r="B1212" s="6" t="str">
        <f>T("   Total Monde")</f>
        <v xml:space="preserve">   Total Monde</v>
      </c>
      <c r="C1212" s="1">
        <v>43315000</v>
      </c>
      <c r="D1212" s="1">
        <v>2169750000</v>
      </c>
    </row>
    <row r="1213" spans="1:4" s="6" customFormat="1" x14ac:dyDescent="0.25">
      <c r="A1213" s="6" t="str">
        <f>T("720449")</f>
        <v>720449</v>
      </c>
      <c r="B1213" s="6" t="str">
        <f>T("AUTRES")</f>
        <v>AUTRES</v>
      </c>
      <c r="C1213" s="1"/>
      <c r="D1213" s="1"/>
    </row>
    <row r="1214" spans="1:4" x14ac:dyDescent="0.25">
      <c r="B1214" t="str">
        <f>T("   Chine")</f>
        <v xml:space="preserve">   Chine</v>
      </c>
      <c r="C1214" s="2">
        <v>12300000</v>
      </c>
      <c r="D1214" s="2">
        <v>615000000</v>
      </c>
    </row>
    <row r="1215" spans="1:4" x14ac:dyDescent="0.25">
      <c r="B1215" t="str">
        <f>T("   Espagne")</f>
        <v xml:space="preserve">   Espagne</v>
      </c>
      <c r="C1215" s="2">
        <v>20000</v>
      </c>
      <c r="D1215" s="2">
        <v>1000000</v>
      </c>
    </row>
    <row r="1216" spans="1:4" x14ac:dyDescent="0.25">
      <c r="B1216" t="str">
        <f>T("   France")</f>
        <v xml:space="preserve">   France</v>
      </c>
      <c r="C1216" s="2">
        <v>20000</v>
      </c>
      <c r="D1216" s="2">
        <v>141032</v>
      </c>
    </row>
    <row r="1217" spans="1:4" x14ac:dyDescent="0.25">
      <c r="B1217" t="str">
        <f>T("   Inde")</f>
        <v xml:space="preserve">   Inde</v>
      </c>
      <c r="C1217" s="2">
        <v>1397000</v>
      </c>
      <c r="D1217" s="2">
        <v>71750000</v>
      </c>
    </row>
    <row r="1218" spans="1:4" x14ac:dyDescent="0.25">
      <c r="B1218" t="str">
        <f>T("   Malaisie")</f>
        <v xml:space="preserve">   Malaisie</v>
      </c>
      <c r="C1218" s="2">
        <v>10000</v>
      </c>
      <c r="D1218" s="2">
        <v>500000</v>
      </c>
    </row>
    <row r="1219" spans="1:4" x14ac:dyDescent="0.25">
      <c r="B1219" t="str">
        <f>T("   Thaïlande")</f>
        <v xml:space="preserve">   Thaïlande</v>
      </c>
      <c r="C1219" s="2">
        <v>20000</v>
      </c>
      <c r="D1219" s="2">
        <v>1000000</v>
      </c>
    </row>
    <row r="1220" spans="1:4" x14ac:dyDescent="0.25">
      <c r="B1220" t="str">
        <f>T("   Vietnam")</f>
        <v xml:space="preserve">   Vietnam</v>
      </c>
      <c r="C1220" s="2">
        <v>990000</v>
      </c>
      <c r="D1220" s="2">
        <v>49500000</v>
      </c>
    </row>
    <row r="1221" spans="1:4" s="6" customFormat="1" x14ac:dyDescent="0.25">
      <c r="B1221" s="6" t="str">
        <f>T("   Total Monde")</f>
        <v xml:space="preserve">   Total Monde</v>
      </c>
      <c r="C1221" s="1">
        <v>14757000</v>
      </c>
      <c r="D1221" s="1">
        <v>738891032</v>
      </c>
    </row>
    <row r="1222" spans="1:4" s="6" customFormat="1" x14ac:dyDescent="0.25">
      <c r="A1222" s="6" t="str">
        <f>T("720510")</f>
        <v>720510</v>
      </c>
      <c r="B1222" s="6" t="str">
        <f>T("GRENAILLES")</f>
        <v>GRENAILLES</v>
      </c>
      <c r="C1222" s="1"/>
      <c r="D1222" s="1"/>
    </row>
    <row r="1223" spans="1:4" x14ac:dyDescent="0.25">
      <c r="B1223" t="str">
        <f>T("   Vietnam")</f>
        <v xml:space="preserve">   Vietnam</v>
      </c>
      <c r="C1223" s="2">
        <v>50000</v>
      </c>
      <c r="D1223" s="2">
        <v>5000000</v>
      </c>
    </row>
    <row r="1224" spans="1:4" s="6" customFormat="1" x14ac:dyDescent="0.25">
      <c r="B1224" s="6" t="str">
        <f>T("   Total Monde")</f>
        <v xml:space="preserve">   Total Monde</v>
      </c>
      <c r="C1224" s="1">
        <v>50000</v>
      </c>
      <c r="D1224" s="1">
        <v>5000000</v>
      </c>
    </row>
    <row r="1225" spans="1:4" s="6" customFormat="1" x14ac:dyDescent="0.25">
      <c r="A1225" s="6" t="str">
        <f>T("720836")</f>
        <v>720836</v>
      </c>
      <c r="B1225" s="6" t="str">
        <f>T("D'UNE EPAISSEUR EXCEDANT 10 MM")</f>
        <v>D'UNE EPAISSEUR EXCEDANT 10 MM</v>
      </c>
      <c r="C1225" s="1"/>
      <c r="D1225" s="1"/>
    </row>
    <row r="1226" spans="1:4" x14ac:dyDescent="0.25">
      <c r="B1226" t="str">
        <f>T("   Niger")</f>
        <v xml:space="preserve">   Niger</v>
      </c>
      <c r="C1226" s="2">
        <v>72430</v>
      </c>
      <c r="D1226" s="2">
        <v>26180402</v>
      </c>
    </row>
    <row r="1227" spans="1:4" x14ac:dyDescent="0.25">
      <c r="B1227" t="str">
        <f>T("   Nigéria")</f>
        <v xml:space="preserve">   Nigéria</v>
      </c>
      <c r="C1227" s="2">
        <v>110000</v>
      </c>
      <c r="D1227" s="2">
        <v>38272240</v>
      </c>
    </row>
    <row r="1228" spans="1:4" x14ac:dyDescent="0.25">
      <c r="B1228" t="str">
        <f>T("   Tchad")</f>
        <v xml:space="preserve">   Tchad</v>
      </c>
      <c r="C1228" s="2">
        <v>1753000</v>
      </c>
      <c r="D1228" s="2">
        <v>644917108</v>
      </c>
    </row>
    <row r="1229" spans="1:4" s="6" customFormat="1" x14ac:dyDescent="0.25">
      <c r="B1229" s="6" t="str">
        <f>T("   Total Monde")</f>
        <v xml:space="preserve">   Total Monde</v>
      </c>
      <c r="C1229" s="1">
        <v>1935430</v>
      </c>
      <c r="D1229" s="1">
        <v>709369750</v>
      </c>
    </row>
    <row r="1230" spans="1:4" s="6" customFormat="1" x14ac:dyDescent="0.25">
      <c r="A1230" s="6" t="str">
        <f>T("720838")</f>
        <v>720838</v>
      </c>
      <c r="B1230" s="6" t="str">
        <f>T("D'UNE EPAISSEUR DE 3 MM OU PLUS MAIS INFERIEURE A 4,75 MM")</f>
        <v>D'UNE EPAISSEUR DE 3 MM OU PLUS MAIS INFERIEURE A 4,75 MM</v>
      </c>
      <c r="C1230" s="1"/>
      <c r="D1230" s="1"/>
    </row>
    <row r="1231" spans="1:4" x14ac:dyDescent="0.25">
      <c r="B1231" t="str">
        <f>T("   Burkina Faso")</f>
        <v xml:space="preserve">   Burkina Faso</v>
      </c>
      <c r="C1231" s="2">
        <v>900000</v>
      </c>
      <c r="D1231" s="2">
        <v>278957850</v>
      </c>
    </row>
    <row r="1232" spans="1:4" s="6" customFormat="1" x14ac:dyDescent="0.25">
      <c r="B1232" s="6" t="str">
        <f>T("   Total Monde")</f>
        <v xml:space="preserve">   Total Monde</v>
      </c>
      <c r="C1232" s="1">
        <v>900000</v>
      </c>
      <c r="D1232" s="1">
        <v>278957850</v>
      </c>
    </row>
    <row r="1233" spans="1:4" s="6" customFormat="1" x14ac:dyDescent="0.25">
      <c r="A1233" s="6" t="str">
        <f>T("720839")</f>
        <v>720839</v>
      </c>
      <c r="B1233" s="6" t="str">
        <f>T("D'UNE EPAISSEUR INFERIEURE A 3 MM")</f>
        <v>D'UNE EPAISSEUR INFERIEURE A 3 MM</v>
      </c>
      <c r="C1233" s="1"/>
      <c r="D1233" s="1"/>
    </row>
    <row r="1234" spans="1:4" x14ac:dyDescent="0.25">
      <c r="B1234" t="str">
        <f>T("   Tchad")</f>
        <v xml:space="preserve">   Tchad</v>
      </c>
      <c r="C1234" s="2">
        <v>50000</v>
      </c>
      <c r="D1234" s="2">
        <v>16840547</v>
      </c>
    </row>
    <row r="1235" spans="1:4" s="6" customFormat="1" x14ac:dyDescent="0.25">
      <c r="B1235" s="6" t="str">
        <f>T("   Total Monde")</f>
        <v xml:space="preserve">   Total Monde</v>
      </c>
      <c r="C1235" s="1">
        <v>50000</v>
      </c>
      <c r="D1235" s="1">
        <v>16840547</v>
      </c>
    </row>
    <row r="1236" spans="1:4" s="6" customFormat="1" x14ac:dyDescent="0.25">
      <c r="A1236" s="6" t="str">
        <f>T("720853")</f>
        <v>720853</v>
      </c>
      <c r="B1236" s="6" t="str">
        <f>T("D'UNE EPAISSEUR DE 3 MM OU PLUS MAIS INFERIEURE A 4,75 MM")</f>
        <v>D'UNE EPAISSEUR DE 3 MM OU PLUS MAIS INFERIEURE A 4,75 MM</v>
      </c>
      <c r="C1236" s="1"/>
      <c r="D1236" s="1"/>
    </row>
    <row r="1237" spans="1:4" x14ac:dyDescent="0.25">
      <c r="B1237" t="str">
        <f>T("   Niger")</f>
        <v xml:space="preserve">   Niger</v>
      </c>
      <c r="C1237" s="2">
        <v>10000</v>
      </c>
      <c r="D1237" s="2">
        <v>3500000</v>
      </c>
    </row>
    <row r="1238" spans="1:4" x14ac:dyDescent="0.25">
      <c r="B1238" t="str">
        <f>T("   Nigéria")</f>
        <v xml:space="preserve">   Nigéria</v>
      </c>
      <c r="C1238" s="2">
        <v>105000</v>
      </c>
      <c r="D1238" s="2">
        <v>41868460</v>
      </c>
    </row>
    <row r="1239" spans="1:4" x14ac:dyDescent="0.25">
      <c r="B1239" t="str">
        <f>T("   Togo")</f>
        <v xml:space="preserve">   Togo</v>
      </c>
      <c r="C1239" s="2">
        <v>6872</v>
      </c>
      <c r="D1239" s="2">
        <v>3830179</v>
      </c>
    </row>
    <row r="1240" spans="1:4" s="6" customFormat="1" x14ac:dyDescent="0.25">
      <c r="B1240" s="6" t="str">
        <f>T("   Total Monde")</f>
        <v xml:space="preserve">   Total Monde</v>
      </c>
      <c r="C1240" s="1">
        <v>121872</v>
      </c>
      <c r="D1240" s="1">
        <v>49198639</v>
      </c>
    </row>
    <row r="1241" spans="1:4" s="6" customFormat="1" x14ac:dyDescent="0.25">
      <c r="A1241" s="6" t="str">
        <f>T("720890")</f>
        <v>720890</v>
      </c>
      <c r="B1241" s="6" t="str">
        <f>T("AUTRES")</f>
        <v>AUTRES</v>
      </c>
      <c r="C1241" s="1"/>
      <c r="D1241" s="1"/>
    </row>
    <row r="1242" spans="1:4" x14ac:dyDescent="0.25">
      <c r="B1242" t="str">
        <f>T("   Burkina Faso")</f>
        <v xml:space="preserve">   Burkina Faso</v>
      </c>
      <c r="C1242" s="2">
        <v>4625</v>
      </c>
      <c r="D1242" s="2">
        <v>1665610</v>
      </c>
    </row>
    <row r="1243" spans="1:4" x14ac:dyDescent="0.25">
      <c r="B1243" t="str">
        <f>T("   Niger")</f>
        <v xml:space="preserve">   Niger</v>
      </c>
      <c r="C1243" s="2">
        <v>90000</v>
      </c>
      <c r="D1243" s="2">
        <v>32411910</v>
      </c>
    </row>
    <row r="1244" spans="1:4" s="6" customFormat="1" x14ac:dyDescent="0.25">
      <c r="B1244" s="6" t="str">
        <f>T("   Total Monde")</f>
        <v xml:space="preserve">   Total Monde</v>
      </c>
      <c r="C1244" s="1">
        <v>94625</v>
      </c>
      <c r="D1244" s="1">
        <v>34077520</v>
      </c>
    </row>
    <row r="1245" spans="1:4" s="6" customFormat="1" x14ac:dyDescent="0.25">
      <c r="A1245" s="6" t="str">
        <f>T("720916")</f>
        <v>720916</v>
      </c>
      <c r="B1245" s="6" t="str">
        <f>T("D'UNE EPAISSEUR EXCEDANT 1 MM MAIS INFERIEURE A 3 MM")</f>
        <v>D'UNE EPAISSEUR EXCEDANT 1 MM MAIS INFERIEURE A 3 MM</v>
      </c>
      <c r="C1245" s="1"/>
      <c r="D1245" s="1"/>
    </row>
    <row r="1246" spans="1:4" x14ac:dyDescent="0.25">
      <c r="B1246" t="str">
        <f>T("   Niger")</f>
        <v xml:space="preserve">   Niger</v>
      </c>
      <c r="C1246" s="2">
        <v>41000</v>
      </c>
      <c r="D1246" s="2">
        <v>15580000</v>
      </c>
    </row>
    <row r="1247" spans="1:4" x14ac:dyDescent="0.25">
      <c r="B1247" t="str">
        <f>T("   Tchad")</f>
        <v xml:space="preserve">   Tchad</v>
      </c>
      <c r="C1247" s="2">
        <v>99000</v>
      </c>
      <c r="D1247" s="2">
        <v>30300350</v>
      </c>
    </row>
    <row r="1248" spans="1:4" s="6" customFormat="1" x14ac:dyDescent="0.25">
      <c r="B1248" s="6" t="str">
        <f>T("   Total Monde")</f>
        <v xml:space="preserve">   Total Monde</v>
      </c>
      <c r="C1248" s="1">
        <v>140000</v>
      </c>
      <c r="D1248" s="1">
        <v>45880350</v>
      </c>
    </row>
    <row r="1249" spans="1:4" s="6" customFormat="1" x14ac:dyDescent="0.25">
      <c r="A1249" s="6" t="str">
        <f>T("720917")</f>
        <v>720917</v>
      </c>
      <c r="B1249" s="6" t="str">
        <f>T("D'UNE EPAISSEUR DE 0,5 MM OU PLUS MAIS N'EXCEDANT PAS 1 MM")</f>
        <v>D'UNE EPAISSEUR DE 0,5 MM OU PLUS MAIS N'EXCEDANT PAS 1 MM</v>
      </c>
      <c r="C1249" s="1"/>
      <c r="D1249" s="1"/>
    </row>
    <row r="1250" spans="1:4" x14ac:dyDescent="0.25">
      <c r="B1250" t="str">
        <f>T("   Burkina Faso")</f>
        <v xml:space="preserve">   Burkina Faso</v>
      </c>
      <c r="C1250" s="2">
        <v>786162</v>
      </c>
      <c r="D1250" s="2">
        <v>277175030</v>
      </c>
    </row>
    <row r="1251" spans="1:4" x14ac:dyDescent="0.25">
      <c r="B1251" t="str">
        <f>T("   Tchad")</f>
        <v xml:space="preserve">   Tchad</v>
      </c>
      <c r="C1251" s="2">
        <v>386000</v>
      </c>
      <c r="D1251" s="2">
        <v>131693476</v>
      </c>
    </row>
    <row r="1252" spans="1:4" s="6" customFormat="1" x14ac:dyDescent="0.25">
      <c r="B1252" s="6" t="str">
        <f>T("   Total Monde")</f>
        <v xml:space="preserve">   Total Monde</v>
      </c>
      <c r="C1252" s="1">
        <v>1172162</v>
      </c>
      <c r="D1252" s="1">
        <v>408868506</v>
      </c>
    </row>
    <row r="1253" spans="1:4" s="6" customFormat="1" x14ac:dyDescent="0.25">
      <c r="A1253" s="6" t="str">
        <f>T("720918")</f>
        <v>720918</v>
      </c>
      <c r="B1253" s="6" t="str">
        <f>T("D'UNE EPAISSEUR INFERIEURE A 0,5 MM")</f>
        <v>D'UNE EPAISSEUR INFERIEURE A 0,5 MM</v>
      </c>
      <c r="C1253" s="1"/>
      <c r="D1253" s="1"/>
    </row>
    <row r="1254" spans="1:4" x14ac:dyDescent="0.25">
      <c r="B1254" t="str">
        <f>T("   Tchad")</f>
        <v xml:space="preserve">   Tchad</v>
      </c>
      <c r="C1254" s="2">
        <v>25000</v>
      </c>
      <c r="D1254" s="2">
        <v>10138654</v>
      </c>
    </row>
    <row r="1255" spans="1:4" s="6" customFormat="1" x14ac:dyDescent="0.25">
      <c r="B1255" s="6" t="str">
        <f>T("   Total Monde")</f>
        <v xml:space="preserve">   Total Monde</v>
      </c>
      <c r="C1255" s="1">
        <v>25000</v>
      </c>
      <c r="D1255" s="1">
        <v>10138654</v>
      </c>
    </row>
    <row r="1256" spans="1:4" s="6" customFormat="1" x14ac:dyDescent="0.25">
      <c r="A1256" s="6" t="str">
        <f>T("720926")</f>
        <v>720926</v>
      </c>
      <c r="B1256" s="6" t="str">
        <f>T("D'UNE EPAISSEUR EXCEDANT 1 MM MAIS INFERIEURE A 3 MM")</f>
        <v>D'UNE EPAISSEUR EXCEDANT 1 MM MAIS INFERIEURE A 3 MM</v>
      </c>
      <c r="C1256" s="1"/>
      <c r="D1256" s="1"/>
    </row>
    <row r="1257" spans="1:4" x14ac:dyDescent="0.25">
      <c r="B1257" t="str">
        <f>T("   Niger")</f>
        <v xml:space="preserve">   Niger</v>
      </c>
      <c r="C1257" s="2">
        <v>19000</v>
      </c>
      <c r="D1257" s="2">
        <v>7220000</v>
      </c>
    </row>
    <row r="1258" spans="1:4" s="6" customFormat="1" x14ac:dyDescent="0.25">
      <c r="B1258" s="6" t="str">
        <f>T("   Total Monde")</f>
        <v xml:space="preserve">   Total Monde</v>
      </c>
      <c r="C1258" s="1">
        <v>19000</v>
      </c>
      <c r="D1258" s="1">
        <v>7220000</v>
      </c>
    </row>
    <row r="1259" spans="1:4" s="6" customFormat="1" x14ac:dyDescent="0.25">
      <c r="A1259" s="6" t="str">
        <f>T("720927")</f>
        <v>720927</v>
      </c>
      <c r="B1259" s="6" t="str">
        <f>T("D'UNE EPAISSEUR DE 0,5 MM OU PLUS MAIS N'EXCEDANT PAS 1 MM")</f>
        <v>D'UNE EPAISSEUR DE 0,5 MM OU PLUS MAIS N'EXCEDANT PAS 1 MM</v>
      </c>
      <c r="C1259" s="1"/>
      <c r="D1259" s="1"/>
    </row>
    <row r="1260" spans="1:4" x14ac:dyDescent="0.25">
      <c r="B1260" t="str">
        <f>T("   Côte d'Ivoire")</f>
        <v xml:space="preserve">   Côte d'Ivoire</v>
      </c>
      <c r="C1260" s="2">
        <v>320</v>
      </c>
      <c r="D1260" s="2">
        <v>200000</v>
      </c>
    </row>
    <row r="1261" spans="1:4" x14ac:dyDescent="0.25">
      <c r="B1261" t="str">
        <f>T("   Niger")</f>
        <v xml:space="preserve">   Niger</v>
      </c>
      <c r="C1261" s="2">
        <v>4000</v>
      </c>
      <c r="D1261" s="2">
        <v>1490841</v>
      </c>
    </row>
    <row r="1262" spans="1:4" s="6" customFormat="1" x14ac:dyDescent="0.25">
      <c r="B1262" s="6" t="str">
        <f>T("   Total Monde")</f>
        <v xml:space="preserve">   Total Monde</v>
      </c>
      <c r="C1262" s="1">
        <v>4320</v>
      </c>
      <c r="D1262" s="1">
        <v>1690841</v>
      </c>
    </row>
    <row r="1263" spans="1:4" s="6" customFormat="1" x14ac:dyDescent="0.25">
      <c r="A1263" s="6" t="str">
        <f>T("720990")</f>
        <v>720990</v>
      </c>
      <c r="B1263" s="6" t="str">
        <f>T("AUTRES")</f>
        <v>AUTRES</v>
      </c>
      <c r="C1263" s="1"/>
      <c r="D1263" s="1"/>
    </row>
    <row r="1264" spans="1:4" x14ac:dyDescent="0.25">
      <c r="B1264" t="str">
        <f>T("   Burkina Faso")</f>
        <v xml:space="preserve">   Burkina Faso</v>
      </c>
      <c r="C1264" s="2">
        <v>80410</v>
      </c>
      <c r="D1264" s="2">
        <v>29590880</v>
      </c>
    </row>
    <row r="1265" spans="1:4" x14ac:dyDescent="0.25">
      <c r="B1265" t="str">
        <f>T("   Niger")</f>
        <v xml:space="preserve">   Niger</v>
      </c>
      <c r="C1265" s="2">
        <v>1570</v>
      </c>
      <c r="D1265" s="2">
        <v>444500</v>
      </c>
    </row>
    <row r="1266" spans="1:4" x14ac:dyDescent="0.25">
      <c r="B1266" t="str">
        <f>T("   Tchad")</f>
        <v xml:space="preserve">   Tchad</v>
      </c>
      <c r="C1266" s="2">
        <v>233073</v>
      </c>
      <c r="D1266" s="2">
        <v>60568222</v>
      </c>
    </row>
    <row r="1267" spans="1:4" s="6" customFormat="1" x14ac:dyDescent="0.25">
      <c r="B1267" s="6" t="str">
        <f>T("   Total Monde")</f>
        <v xml:space="preserve">   Total Monde</v>
      </c>
      <c r="C1267" s="1">
        <v>315053</v>
      </c>
      <c r="D1267" s="1">
        <v>90603602</v>
      </c>
    </row>
    <row r="1268" spans="1:4" s="6" customFormat="1" x14ac:dyDescent="0.25">
      <c r="A1268" s="6" t="str">
        <f>T("721011")</f>
        <v>721011</v>
      </c>
      <c r="B1268" s="6" t="str">
        <f>T("D'UNE EPAISSEUR DE 0,5 MM OU PLUS")</f>
        <v>D'UNE EPAISSEUR DE 0,5 MM OU PLUS</v>
      </c>
      <c r="C1268" s="1"/>
      <c r="D1268" s="1"/>
    </row>
    <row r="1269" spans="1:4" x14ac:dyDescent="0.25">
      <c r="B1269" t="str">
        <f>T("   Tchad")</f>
        <v xml:space="preserve">   Tchad</v>
      </c>
      <c r="C1269" s="2">
        <v>150000</v>
      </c>
      <c r="D1269" s="2">
        <v>59146323</v>
      </c>
    </row>
    <row r="1270" spans="1:4" s="6" customFormat="1" x14ac:dyDescent="0.25">
      <c r="B1270" s="6" t="str">
        <f>T("   Total Monde")</f>
        <v xml:space="preserve">   Total Monde</v>
      </c>
      <c r="C1270" s="1">
        <v>150000</v>
      </c>
      <c r="D1270" s="1">
        <v>59146323</v>
      </c>
    </row>
    <row r="1271" spans="1:4" s="6" customFormat="1" x14ac:dyDescent="0.25">
      <c r="A1271" s="6" t="str">
        <f>T("721391")</f>
        <v>721391</v>
      </c>
      <c r="B1271" s="6" t="str">
        <f>T("DE SECTION CIRCULAIRE D'UN DIAMETRE INFERIEUR A 14 MM")</f>
        <v>DE SECTION CIRCULAIRE D'UN DIAMETRE INFERIEUR A 14 MM</v>
      </c>
      <c r="C1271" s="1"/>
      <c r="D1271" s="1"/>
    </row>
    <row r="1272" spans="1:4" x14ac:dyDescent="0.25">
      <c r="B1272" t="str">
        <f>T("   Burkina Faso")</f>
        <v xml:space="preserve">   Burkina Faso</v>
      </c>
      <c r="C1272" s="2">
        <v>916000</v>
      </c>
      <c r="D1272" s="2">
        <v>236027370</v>
      </c>
    </row>
    <row r="1273" spans="1:4" x14ac:dyDescent="0.25">
      <c r="B1273" t="str">
        <f>T("   Niger")</f>
        <v xml:space="preserve">   Niger</v>
      </c>
      <c r="C1273" s="2">
        <v>5784500</v>
      </c>
      <c r="D1273" s="2">
        <v>1632587871</v>
      </c>
    </row>
    <row r="1274" spans="1:4" x14ac:dyDescent="0.25">
      <c r="B1274" t="str">
        <f>T("   Tchad")</f>
        <v xml:space="preserve">   Tchad</v>
      </c>
      <c r="C1274" s="2">
        <v>10067000</v>
      </c>
      <c r="D1274" s="2">
        <v>2888440146</v>
      </c>
    </row>
    <row r="1275" spans="1:4" x14ac:dyDescent="0.25">
      <c r="B1275" t="str">
        <f>T("   Togo")</f>
        <v xml:space="preserve">   Togo</v>
      </c>
      <c r="C1275" s="2">
        <v>294881</v>
      </c>
      <c r="D1275" s="2">
        <v>87361902</v>
      </c>
    </row>
    <row r="1276" spans="1:4" s="6" customFormat="1" x14ac:dyDescent="0.25">
      <c r="B1276" s="6" t="str">
        <f>T("   Total Monde")</f>
        <v xml:space="preserve">   Total Monde</v>
      </c>
      <c r="C1276" s="1">
        <v>17062381</v>
      </c>
      <c r="D1276" s="1">
        <v>4844417289</v>
      </c>
    </row>
    <row r="1277" spans="1:4" s="6" customFormat="1" x14ac:dyDescent="0.25">
      <c r="A1277" s="6" t="str">
        <f>T("721399")</f>
        <v>721399</v>
      </c>
      <c r="B1277" s="6" t="str">
        <f>T("AUTRES")</f>
        <v>AUTRES</v>
      </c>
      <c r="C1277" s="1"/>
      <c r="D1277" s="1"/>
    </row>
    <row r="1278" spans="1:4" x14ac:dyDescent="0.25">
      <c r="B1278" t="str">
        <f>T("   Niger")</f>
        <v xml:space="preserve">   Niger</v>
      </c>
      <c r="C1278" s="2">
        <v>1871000</v>
      </c>
      <c r="D1278" s="2">
        <v>617310410</v>
      </c>
    </row>
    <row r="1279" spans="1:4" x14ac:dyDescent="0.25">
      <c r="B1279" t="str">
        <f>T("   Tchad")</f>
        <v xml:space="preserve">   Tchad</v>
      </c>
      <c r="C1279" s="2">
        <v>3050000</v>
      </c>
      <c r="D1279" s="2">
        <v>1003836972</v>
      </c>
    </row>
    <row r="1280" spans="1:4" s="6" customFormat="1" x14ac:dyDescent="0.25">
      <c r="B1280" s="6" t="str">
        <f>T("   Total Monde")</f>
        <v xml:space="preserve">   Total Monde</v>
      </c>
      <c r="C1280" s="1">
        <v>4921000</v>
      </c>
      <c r="D1280" s="1">
        <v>1621147382</v>
      </c>
    </row>
    <row r="1281" spans="1:4" s="6" customFormat="1" x14ac:dyDescent="0.25">
      <c r="A1281" s="6" t="str">
        <f>T("721420")</f>
        <v>721420</v>
      </c>
      <c r="B1281" s="6" t="str">
        <f>T("COMPORTANT DES INDENTATIONS, BOURRELETS, CREUX OU RELIEFS OBTENUS AU COURS DU LAMINAG")</f>
        <v>COMPORTANT DES INDENTATIONS, BOURRELETS, CREUX OU RELIEFS OBTENUS AU COURS DU LAMINAG</v>
      </c>
      <c r="C1281" s="1"/>
      <c r="D1281" s="1"/>
    </row>
    <row r="1282" spans="1:4" x14ac:dyDescent="0.25">
      <c r="B1282" t="str">
        <f>T("   Niger")</f>
        <v xml:space="preserve">   Niger</v>
      </c>
      <c r="C1282" s="2">
        <v>7836630</v>
      </c>
      <c r="D1282" s="2">
        <v>2180078159</v>
      </c>
    </row>
    <row r="1283" spans="1:4" x14ac:dyDescent="0.25">
      <c r="B1283" t="str">
        <f>T("   Tchad")</f>
        <v xml:space="preserve">   Tchad</v>
      </c>
      <c r="C1283" s="2">
        <v>12080000</v>
      </c>
      <c r="D1283" s="2">
        <v>4408054663</v>
      </c>
    </row>
    <row r="1284" spans="1:4" x14ac:dyDescent="0.25">
      <c r="B1284" t="str">
        <f>T("   Togo")</f>
        <v xml:space="preserve">   Togo</v>
      </c>
      <c r="C1284" s="2">
        <v>230000</v>
      </c>
      <c r="D1284" s="2">
        <v>69515103</v>
      </c>
    </row>
    <row r="1285" spans="1:4" s="6" customFormat="1" x14ac:dyDescent="0.25">
      <c r="B1285" s="6" t="str">
        <f>T("   Total Monde")</f>
        <v xml:space="preserve">   Total Monde</v>
      </c>
      <c r="C1285" s="1">
        <v>20146630</v>
      </c>
      <c r="D1285" s="1">
        <v>6657647925</v>
      </c>
    </row>
    <row r="1286" spans="1:4" s="6" customFormat="1" x14ac:dyDescent="0.25">
      <c r="A1286" s="6" t="str">
        <f>T("721590")</f>
        <v>721590</v>
      </c>
      <c r="B1286" s="6" t="str">
        <f>T("AUTRES")</f>
        <v>AUTRES</v>
      </c>
      <c r="C1286" s="1"/>
      <c r="D1286" s="1"/>
    </row>
    <row r="1287" spans="1:4" x14ac:dyDescent="0.25">
      <c r="B1287" t="str">
        <f>T("   Guinée Equatoriale")</f>
        <v xml:space="preserve">   Guinée Equatoriale</v>
      </c>
      <c r="C1287" s="2">
        <v>13000</v>
      </c>
      <c r="D1287" s="2">
        <v>6999890</v>
      </c>
    </row>
    <row r="1288" spans="1:4" x14ac:dyDescent="0.25">
      <c r="B1288" t="str">
        <f>T("   Niger")</f>
        <v xml:space="preserve">   Niger</v>
      </c>
      <c r="C1288" s="2">
        <v>2750000</v>
      </c>
      <c r="D1288" s="2">
        <v>620784816</v>
      </c>
    </row>
    <row r="1289" spans="1:4" x14ac:dyDescent="0.25">
      <c r="B1289" t="str">
        <f>T("   Togo")</f>
        <v xml:space="preserve">   Togo</v>
      </c>
      <c r="C1289" s="2">
        <v>560394</v>
      </c>
      <c r="D1289" s="2">
        <v>172128050</v>
      </c>
    </row>
    <row r="1290" spans="1:4" s="6" customFormat="1" x14ac:dyDescent="0.25">
      <c r="B1290" s="6" t="str">
        <f>T("   Total Monde")</f>
        <v xml:space="preserve">   Total Monde</v>
      </c>
      <c r="C1290" s="1">
        <v>3323394</v>
      </c>
      <c r="D1290" s="1">
        <v>799912756</v>
      </c>
    </row>
    <row r="1291" spans="1:4" s="6" customFormat="1" x14ac:dyDescent="0.25">
      <c r="A1291" s="6" t="str">
        <f>T("721631")</f>
        <v>721631</v>
      </c>
      <c r="B1291" s="6" t="str">
        <f>T("PROFILES EN U")</f>
        <v>PROFILES EN U</v>
      </c>
      <c r="C1291" s="1"/>
      <c r="D1291" s="1"/>
    </row>
    <row r="1292" spans="1:4" x14ac:dyDescent="0.25">
      <c r="B1292" t="str">
        <f>T("   Tchad")</f>
        <v xml:space="preserve">   Tchad</v>
      </c>
      <c r="C1292" s="2">
        <v>181000</v>
      </c>
      <c r="D1292" s="2">
        <v>82867982</v>
      </c>
    </row>
    <row r="1293" spans="1:4" s="6" customFormat="1" x14ac:dyDescent="0.25">
      <c r="B1293" s="6" t="str">
        <f>T("   Total Monde")</f>
        <v xml:space="preserve">   Total Monde</v>
      </c>
      <c r="C1293" s="1">
        <v>181000</v>
      </c>
      <c r="D1293" s="1">
        <v>82867982</v>
      </c>
    </row>
    <row r="1294" spans="1:4" s="6" customFormat="1" x14ac:dyDescent="0.25">
      <c r="A1294" s="6" t="str">
        <f>T("721632")</f>
        <v>721632</v>
      </c>
      <c r="B1294" s="6" t="str">
        <f>T("PROFILES EN I")</f>
        <v>PROFILES EN I</v>
      </c>
      <c r="C1294" s="1"/>
      <c r="D1294" s="1"/>
    </row>
    <row r="1295" spans="1:4" x14ac:dyDescent="0.25">
      <c r="B1295" t="str">
        <f>T("   Tchad")</f>
        <v xml:space="preserve">   Tchad</v>
      </c>
      <c r="C1295" s="2">
        <v>100000</v>
      </c>
      <c r="D1295" s="2">
        <v>59380748</v>
      </c>
    </row>
    <row r="1296" spans="1:4" s="6" customFormat="1" x14ac:dyDescent="0.25">
      <c r="B1296" s="6" t="str">
        <f>T("   Total Monde")</f>
        <v xml:space="preserve">   Total Monde</v>
      </c>
      <c r="C1296" s="1">
        <v>100000</v>
      </c>
      <c r="D1296" s="1">
        <v>59380748</v>
      </c>
    </row>
    <row r="1297" spans="1:4" s="6" customFormat="1" x14ac:dyDescent="0.25">
      <c r="A1297" s="6" t="str">
        <f>T("721633")</f>
        <v>721633</v>
      </c>
      <c r="B1297" s="6" t="str">
        <f>T("PROFILES EN H")</f>
        <v>PROFILES EN H</v>
      </c>
      <c r="C1297" s="1"/>
      <c r="D1297" s="1"/>
    </row>
    <row r="1298" spans="1:4" x14ac:dyDescent="0.25">
      <c r="B1298" t="str">
        <f>T("   Niger")</f>
        <v xml:space="preserve">   Niger</v>
      </c>
      <c r="C1298" s="2">
        <v>44000</v>
      </c>
      <c r="D1298" s="2">
        <v>19403917</v>
      </c>
    </row>
    <row r="1299" spans="1:4" x14ac:dyDescent="0.25">
      <c r="B1299" t="str">
        <f>T("   Tchad")</f>
        <v xml:space="preserve">   Tchad</v>
      </c>
      <c r="C1299" s="2">
        <v>391000</v>
      </c>
      <c r="D1299" s="2">
        <v>186266305</v>
      </c>
    </row>
    <row r="1300" spans="1:4" s="6" customFormat="1" x14ac:dyDescent="0.25">
      <c r="B1300" s="6" t="str">
        <f>T("   Total Monde")</f>
        <v xml:space="preserve">   Total Monde</v>
      </c>
      <c r="C1300" s="1">
        <v>435000</v>
      </c>
      <c r="D1300" s="1">
        <v>205670222</v>
      </c>
    </row>
    <row r="1301" spans="1:4" s="6" customFormat="1" x14ac:dyDescent="0.25">
      <c r="A1301" s="6" t="str">
        <f>T("721661")</f>
        <v>721661</v>
      </c>
      <c r="B1301" s="6" t="str">
        <f>T("OBTENUS A PARTIR DE PRODUITS LAMINES PLATS")</f>
        <v>OBTENUS A PARTIR DE PRODUITS LAMINES PLATS</v>
      </c>
      <c r="C1301" s="1"/>
      <c r="D1301" s="1"/>
    </row>
    <row r="1302" spans="1:4" x14ac:dyDescent="0.25">
      <c r="B1302" t="str">
        <f>T("   Tchad")</f>
        <v xml:space="preserve">   Tchad</v>
      </c>
      <c r="C1302" s="2">
        <v>85000</v>
      </c>
      <c r="D1302" s="2">
        <v>44803514</v>
      </c>
    </row>
    <row r="1303" spans="1:4" s="6" customFormat="1" x14ac:dyDescent="0.25">
      <c r="B1303" s="6" t="str">
        <f>T("   Total Monde")</f>
        <v xml:space="preserve">   Total Monde</v>
      </c>
      <c r="C1303" s="1">
        <v>85000</v>
      </c>
      <c r="D1303" s="1">
        <v>44803514</v>
      </c>
    </row>
    <row r="1304" spans="1:4" s="6" customFormat="1" x14ac:dyDescent="0.25">
      <c r="A1304" s="6" t="str">
        <f>T("721669")</f>
        <v>721669</v>
      </c>
      <c r="B1304" s="6" t="str">
        <f>T("AUTRES")</f>
        <v>AUTRES</v>
      </c>
      <c r="C1304" s="1"/>
      <c r="D1304" s="1"/>
    </row>
    <row r="1305" spans="1:4" x14ac:dyDescent="0.25">
      <c r="B1305" t="str">
        <f>T("   Niger")</f>
        <v xml:space="preserve">   Niger</v>
      </c>
      <c r="C1305" s="2">
        <v>216000</v>
      </c>
      <c r="D1305" s="2">
        <v>86149233</v>
      </c>
    </row>
    <row r="1306" spans="1:4" x14ac:dyDescent="0.25">
      <c r="B1306" t="str">
        <f>T("   Nigéria")</f>
        <v xml:space="preserve">   Nigéria</v>
      </c>
      <c r="C1306" s="2">
        <v>215000</v>
      </c>
      <c r="D1306" s="2">
        <v>97624706</v>
      </c>
    </row>
    <row r="1307" spans="1:4" x14ac:dyDescent="0.25">
      <c r="B1307" t="str">
        <f>T("   Tchad")</f>
        <v xml:space="preserve">   Tchad</v>
      </c>
      <c r="C1307" s="2">
        <v>577073</v>
      </c>
      <c r="D1307" s="2">
        <v>255256404</v>
      </c>
    </row>
    <row r="1308" spans="1:4" s="6" customFormat="1" x14ac:dyDescent="0.25">
      <c r="B1308" s="6" t="str">
        <f>T("   Total Monde")</f>
        <v xml:space="preserve">   Total Monde</v>
      </c>
      <c r="C1308" s="1">
        <v>1008073</v>
      </c>
      <c r="D1308" s="1">
        <v>439030343</v>
      </c>
    </row>
    <row r="1309" spans="1:4" s="6" customFormat="1" x14ac:dyDescent="0.25">
      <c r="A1309" s="6" t="str">
        <f>T("721790")</f>
        <v>721790</v>
      </c>
      <c r="B1309" s="6" t="str">
        <f>T("AUTRES")</f>
        <v>AUTRES</v>
      </c>
      <c r="C1309" s="1"/>
      <c r="D1309" s="1"/>
    </row>
    <row r="1310" spans="1:4" x14ac:dyDescent="0.25">
      <c r="B1310" t="str">
        <f>T("   Tchad")</f>
        <v xml:space="preserve">   Tchad</v>
      </c>
      <c r="C1310" s="2">
        <v>12000</v>
      </c>
      <c r="D1310" s="2">
        <v>5750000</v>
      </c>
    </row>
    <row r="1311" spans="1:4" x14ac:dyDescent="0.25">
      <c r="B1311" t="str">
        <f>T("   Togo")</f>
        <v xml:space="preserve">   Togo</v>
      </c>
      <c r="C1311" s="2">
        <v>69500</v>
      </c>
      <c r="D1311" s="2">
        <v>53883000</v>
      </c>
    </row>
    <row r="1312" spans="1:4" s="6" customFormat="1" x14ac:dyDescent="0.25">
      <c r="B1312" s="6" t="str">
        <f>T("   Total Monde")</f>
        <v xml:space="preserve">   Total Monde</v>
      </c>
      <c r="C1312" s="1">
        <v>81500</v>
      </c>
      <c r="D1312" s="1">
        <v>59633000</v>
      </c>
    </row>
    <row r="1313" spans="1:4" s="6" customFormat="1" x14ac:dyDescent="0.25">
      <c r="A1313" s="6" t="str">
        <f>T("721990")</f>
        <v>721990</v>
      </c>
      <c r="B1313" s="6" t="str">
        <f>T("AUTRES")</f>
        <v>AUTRES</v>
      </c>
      <c r="C1313" s="1"/>
      <c r="D1313" s="1"/>
    </row>
    <row r="1314" spans="1:4" x14ac:dyDescent="0.25">
      <c r="B1314" t="str">
        <f>T("   Niger")</f>
        <v xml:space="preserve">   Niger</v>
      </c>
      <c r="C1314" s="2">
        <v>73000</v>
      </c>
      <c r="D1314" s="2">
        <v>27534430</v>
      </c>
    </row>
    <row r="1315" spans="1:4" s="6" customFormat="1" x14ac:dyDescent="0.25">
      <c r="B1315" s="6" t="str">
        <f>T("   Total Monde")</f>
        <v xml:space="preserve">   Total Monde</v>
      </c>
      <c r="C1315" s="1">
        <v>73000</v>
      </c>
      <c r="D1315" s="1">
        <v>27534430</v>
      </c>
    </row>
    <row r="1316" spans="1:4" s="6" customFormat="1" x14ac:dyDescent="0.25">
      <c r="A1316" s="6" t="str">
        <f>T("730120")</f>
        <v>730120</v>
      </c>
      <c r="B1316" s="6" t="str">
        <f>T("PROFILES")</f>
        <v>PROFILES</v>
      </c>
      <c r="C1316" s="1"/>
      <c r="D1316" s="1"/>
    </row>
    <row r="1317" spans="1:4" x14ac:dyDescent="0.25">
      <c r="B1317" t="str">
        <f>T("   Burkina Faso")</f>
        <v xml:space="preserve">   Burkina Faso</v>
      </c>
      <c r="C1317" s="2">
        <v>4625</v>
      </c>
      <c r="D1317" s="2">
        <v>1475844</v>
      </c>
    </row>
    <row r="1318" spans="1:4" s="6" customFormat="1" x14ac:dyDescent="0.25">
      <c r="B1318" s="6" t="str">
        <f>T("   Total Monde")</f>
        <v xml:space="preserve">   Total Monde</v>
      </c>
      <c r="C1318" s="1">
        <v>4625</v>
      </c>
      <c r="D1318" s="1">
        <v>1475844</v>
      </c>
    </row>
    <row r="1319" spans="1:4" s="6" customFormat="1" x14ac:dyDescent="0.25">
      <c r="A1319" s="6" t="str">
        <f>T("730411")</f>
        <v>730411</v>
      </c>
      <c r="B1319" s="6" t="str">
        <f>T("EN ACIERS INOXYDABLES")</f>
        <v>EN ACIERS INOXYDABLES</v>
      </c>
      <c r="C1319" s="1"/>
      <c r="D1319" s="1"/>
    </row>
    <row r="1320" spans="1:4" x14ac:dyDescent="0.25">
      <c r="B1320" t="str">
        <f>T("   Egypte")</f>
        <v xml:space="preserve">   Egypte</v>
      </c>
      <c r="C1320" s="2">
        <v>986</v>
      </c>
      <c r="D1320" s="2">
        <v>17838852</v>
      </c>
    </row>
    <row r="1321" spans="1:4" s="6" customFormat="1" x14ac:dyDescent="0.25">
      <c r="B1321" s="6" t="str">
        <f>T("   Total Monde")</f>
        <v xml:space="preserve">   Total Monde</v>
      </c>
      <c r="C1321" s="1">
        <v>986</v>
      </c>
      <c r="D1321" s="1">
        <v>17838852</v>
      </c>
    </row>
    <row r="1322" spans="1:4" s="6" customFormat="1" x14ac:dyDescent="0.25">
      <c r="A1322" s="6" t="str">
        <f>T("730422")</f>
        <v>730422</v>
      </c>
      <c r="B1322" s="6" t="str">
        <f>T("TIGES DE FORAGE EN ACIERS INOXYDABLES")</f>
        <v>TIGES DE FORAGE EN ACIERS INOXYDABLES</v>
      </c>
      <c r="C1322" s="1"/>
      <c r="D1322" s="1"/>
    </row>
    <row r="1323" spans="1:4" x14ac:dyDescent="0.25">
      <c r="B1323" t="str">
        <f>T("   Gabon")</f>
        <v xml:space="preserve">   Gabon</v>
      </c>
      <c r="C1323" s="2">
        <v>35640</v>
      </c>
      <c r="D1323" s="2">
        <v>83680834</v>
      </c>
    </row>
    <row r="1324" spans="1:4" s="6" customFormat="1" x14ac:dyDescent="0.25">
      <c r="B1324" s="6" t="str">
        <f>T("   Total Monde")</f>
        <v xml:space="preserve">   Total Monde</v>
      </c>
      <c r="C1324" s="1">
        <v>35640</v>
      </c>
      <c r="D1324" s="1">
        <v>83680834</v>
      </c>
    </row>
    <row r="1325" spans="1:4" s="6" customFormat="1" x14ac:dyDescent="0.25">
      <c r="A1325" s="6" t="str">
        <f>T("730423")</f>
        <v>730423</v>
      </c>
      <c r="B1325" s="6" t="str">
        <f>T("AUTRES TIGES DE FORAGE")</f>
        <v>AUTRES TIGES DE FORAGE</v>
      </c>
      <c r="C1325" s="1"/>
      <c r="D1325" s="1"/>
    </row>
    <row r="1326" spans="1:4" x14ac:dyDescent="0.25">
      <c r="B1326" t="str">
        <f>T("   Gabon")</f>
        <v xml:space="preserve">   Gabon</v>
      </c>
      <c r="C1326" s="2">
        <v>5009</v>
      </c>
      <c r="D1326" s="2">
        <v>43703319</v>
      </c>
    </row>
    <row r="1327" spans="1:4" x14ac:dyDescent="0.25">
      <c r="B1327" t="str">
        <f>T("   Guinée")</f>
        <v xml:space="preserve">   Guinée</v>
      </c>
      <c r="C1327" s="2">
        <v>96</v>
      </c>
      <c r="D1327" s="2">
        <v>1920000</v>
      </c>
    </row>
    <row r="1328" spans="1:4" x14ac:dyDescent="0.25">
      <c r="B1328" t="str">
        <f>T("   Etats-Unis")</f>
        <v xml:space="preserve">   Etats-Unis</v>
      </c>
      <c r="C1328" s="2">
        <v>12647</v>
      </c>
      <c r="D1328" s="2">
        <v>34371648</v>
      </c>
    </row>
    <row r="1329" spans="1:4" s="6" customFormat="1" x14ac:dyDescent="0.25">
      <c r="B1329" s="6" t="str">
        <f>T("   Total Monde")</f>
        <v xml:space="preserve">   Total Monde</v>
      </c>
      <c r="C1329" s="1">
        <v>17752</v>
      </c>
      <c r="D1329" s="1">
        <v>79994967</v>
      </c>
    </row>
    <row r="1330" spans="1:4" s="6" customFormat="1" x14ac:dyDescent="0.25">
      <c r="A1330" s="6" t="str">
        <f>T("730429")</f>
        <v>730429</v>
      </c>
      <c r="B1330" s="6" t="str">
        <f>T("AUTRES")</f>
        <v>AUTRES</v>
      </c>
      <c r="C1330" s="1"/>
      <c r="D1330" s="1"/>
    </row>
    <row r="1331" spans="1:4" x14ac:dyDescent="0.25">
      <c r="B1331" t="str">
        <f>T("   Gabon")</f>
        <v xml:space="preserve">   Gabon</v>
      </c>
      <c r="C1331" s="2">
        <v>910</v>
      </c>
      <c r="D1331" s="2">
        <v>28036887</v>
      </c>
    </row>
    <row r="1332" spans="1:4" x14ac:dyDescent="0.25">
      <c r="B1332" t="str">
        <f>T("   Ghana")</f>
        <v xml:space="preserve">   Ghana</v>
      </c>
      <c r="C1332" s="2">
        <v>12630</v>
      </c>
      <c r="D1332" s="2">
        <v>66859466</v>
      </c>
    </row>
    <row r="1333" spans="1:4" s="6" customFormat="1" x14ac:dyDescent="0.25">
      <c r="B1333" s="6" t="str">
        <f>T("   Total Monde")</f>
        <v xml:space="preserve">   Total Monde</v>
      </c>
      <c r="C1333" s="1">
        <v>13540</v>
      </c>
      <c r="D1333" s="1">
        <v>94896353</v>
      </c>
    </row>
    <row r="1334" spans="1:4" s="6" customFormat="1" x14ac:dyDescent="0.25">
      <c r="A1334" s="6" t="str">
        <f>T("730490")</f>
        <v>730490</v>
      </c>
      <c r="B1334" s="6" t="str">
        <f>T("AUTRES")</f>
        <v>AUTRES</v>
      </c>
      <c r="C1334" s="1"/>
      <c r="D1334" s="1"/>
    </row>
    <row r="1335" spans="1:4" x14ac:dyDescent="0.25">
      <c r="B1335" t="str">
        <f>T("   Espagne")</f>
        <v xml:space="preserve">   Espagne</v>
      </c>
      <c r="C1335" s="2">
        <v>3220</v>
      </c>
      <c r="D1335" s="2">
        <v>19986494</v>
      </c>
    </row>
    <row r="1336" spans="1:4" x14ac:dyDescent="0.25">
      <c r="B1336" t="str">
        <f>T("   Gabon")</f>
        <v xml:space="preserve">   Gabon</v>
      </c>
      <c r="C1336" s="2">
        <v>447932</v>
      </c>
      <c r="D1336" s="2">
        <v>1737701007</v>
      </c>
    </row>
    <row r="1337" spans="1:4" x14ac:dyDescent="0.25">
      <c r="B1337" t="str">
        <f>T("   Etats-Unis")</f>
        <v xml:space="preserve">   Etats-Unis</v>
      </c>
      <c r="C1337" s="2">
        <v>2000</v>
      </c>
      <c r="D1337" s="2">
        <v>14023291</v>
      </c>
    </row>
    <row r="1338" spans="1:4" s="6" customFormat="1" x14ac:dyDescent="0.25">
      <c r="B1338" s="6" t="str">
        <f>T("   Total Monde")</f>
        <v xml:space="preserve">   Total Monde</v>
      </c>
      <c r="C1338" s="1">
        <v>453152</v>
      </c>
      <c r="D1338" s="1">
        <v>1771710792</v>
      </c>
    </row>
    <row r="1339" spans="1:4" s="6" customFormat="1" x14ac:dyDescent="0.25">
      <c r="A1339" s="6" t="str">
        <f>T("730520")</f>
        <v>730520</v>
      </c>
      <c r="B1339" s="6" t="str">
        <f>T("TUBES ET TUYAUX DE CUVELAGE DES TYPES UTILISES POUR L'EXTRACTION DU PETROLE OU DU GAZ")</f>
        <v>TUBES ET TUYAUX DE CUVELAGE DES TYPES UTILISES POUR L'EXTRACTION DU PETROLE OU DU GAZ</v>
      </c>
      <c r="C1339" s="1"/>
      <c r="D1339" s="1"/>
    </row>
    <row r="1340" spans="1:4" x14ac:dyDescent="0.25">
      <c r="B1340" t="str">
        <f>T("   Gabon")</f>
        <v xml:space="preserve">   Gabon</v>
      </c>
      <c r="C1340" s="2">
        <v>4546</v>
      </c>
      <c r="D1340" s="2">
        <v>42137437</v>
      </c>
    </row>
    <row r="1341" spans="1:4" s="6" customFormat="1" x14ac:dyDescent="0.25">
      <c r="B1341" s="6" t="str">
        <f>T("   Total Monde")</f>
        <v xml:space="preserve">   Total Monde</v>
      </c>
      <c r="C1341" s="1">
        <v>4546</v>
      </c>
      <c r="D1341" s="1">
        <v>42137437</v>
      </c>
    </row>
    <row r="1342" spans="1:4" s="6" customFormat="1" x14ac:dyDescent="0.25">
      <c r="A1342" s="6" t="str">
        <f>T("730629")</f>
        <v>730629</v>
      </c>
      <c r="B1342" s="6" t="str">
        <f>T("AUTRES")</f>
        <v>AUTRES</v>
      </c>
      <c r="C1342" s="1"/>
      <c r="D1342" s="1"/>
    </row>
    <row r="1343" spans="1:4" x14ac:dyDescent="0.25">
      <c r="B1343" t="str">
        <f>T("   Etats-Unis")</f>
        <v xml:space="preserve">   Etats-Unis</v>
      </c>
      <c r="C1343" s="2">
        <v>48322</v>
      </c>
      <c r="D1343" s="2">
        <v>133755491</v>
      </c>
    </row>
    <row r="1344" spans="1:4" s="6" customFormat="1" x14ac:dyDescent="0.25">
      <c r="B1344" s="6" t="str">
        <f>T("   Total Monde")</f>
        <v xml:space="preserve">   Total Monde</v>
      </c>
      <c r="C1344" s="1">
        <v>48322</v>
      </c>
      <c r="D1344" s="1">
        <v>133755491</v>
      </c>
    </row>
    <row r="1345" spans="1:4" s="6" customFormat="1" x14ac:dyDescent="0.25">
      <c r="A1345" s="6" t="str">
        <f>T("730791")</f>
        <v>730791</v>
      </c>
      <c r="B1345" s="6" t="str">
        <f>T("BRIDES")</f>
        <v>BRIDES</v>
      </c>
      <c r="C1345" s="1"/>
      <c r="D1345" s="1"/>
    </row>
    <row r="1346" spans="1:4" x14ac:dyDescent="0.25">
      <c r="B1346" t="str">
        <f>T("   Norvège")</f>
        <v xml:space="preserve">   Norvège</v>
      </c>
      <c r="C1346" s="2">
        <v>207</v>
      </c>
      <c r="D1346" s="2">
        <v>2312238</v>
      </c>
    </row>
    <row r="1347" spans="1:4" s="6" customFormat="1" x14ac:dyDescent="0.25">
      <c r="B1347" s="6" t="str">
        <f>T("   Total Monde")</f>
        <v xml:space="preserve">   Total Monde</v>
      </c>
      <c r="C1347" s="1">
        <v>207</v>
      </c>
      <c r="D1347" s="1">
        <v>2312238</v>
      </c>
    </row>
    <row r="1348" spans="1:4" s="6" customFormat="1" x14ac:dyDescent="0.25">
      <c r="A1348" s="6" t="str">
        <f>T("730793")</f>
        <v>730793</v>
      </c>
      <c r="B1348" s="6" t="str">
        <f>T("ACCESSOIRES A SOUDER BOUT A BOUT")</f>
        <v>ACCESSOIRES A SOUDER BOUT A BOUT</v>
      </c>
      <c r="C1348" s="1"/>
      <c r="D1348" s="1"/>
    </row>
    <row r="1349" spans="1:4" x14ac:dyDescent="0.25">
      <c r="B1349" t="str">
        <f>T("   Gabon")</f>
        <v xml:space="preserve">   Gabon</v>
      </c>
      <c r="C1349" s="2">
        <v>50</v>
      </c>
      <c r="D1349" s="2">
        <v>521794</v>
      </c>
    </row>
    <row r="1350" spans="1:4" s="6" customFormat="1" x14ac:dyDescent="0.25">
      <c r="B1350" s="6" t="str">
        <f>T("   Total Monde")</f>
        <v xml:space="preserve">   Total Monde</v>
      </c>
      <c r="C1350" s="1">
        <v>50</v>
      </c>
      <c r="D1350" s="1">
        <v>521794</v>
      </c>
    </row>
    <row r="1351" spans="1:4" s="6" customFormat="1" x14ac:dyDescent="0.25">
      <c r="A1351" s="6" t="str">
        <f>T("730799")</f>
        <v>730799</v>
      </c>
      <c r="B1351" s="6" t="str">
        <f>T("AUTRES")</f>
        <v>AUTRES</v>
      </c>
      <c r="C1351" s="1"/>
      <c r="D1351" s="1"/>
    </row>
    <row r="1352" spans="1:4" x14ac:dyDescent="0.25">
      <c r="B1352" t="str">
        <f>T("   Allemagne")</f>
        <v xml:space="preserve">   Allemagne</v>
      </c>
      <c r="C1352" s="2">
        <v>2.4</v>
      </c>
      <c r="D1352" s="2">
        <v>20794860</v>
      </c>
    </row>
    <row r="1353" spans="1:4" x14ac:dyDescent="0.25">
      <c r="B1353" t="str">
        <f>T("   Gabon")</f>
        <v xml:space="preserve">   Gabon</v>
      </c>
      <c r="C1353" s="2">
        <v>3142</v>
      </c>
      <c r="D1353" s="2">
        <v>58504939</v>
      </c>
    </row>
    <row r="1354" spans="1:4" x14ac:dyDescent="0.25">
      <c r="B1354" t="str">
        <f>T("   Turquie")</f>
        <v xml:space="preserve">   Turquie</v>
      </c>
      <c r="C1354" s="2">
        <v>2000</v>
      </c>
      <c r="D1354" s="2">
        <v>6581687</v>
      </c>
    </row>
    <row r="1355" spans="1:4" x14ac:dyDescent="0.25">
      <c r="B1355" t="str">
        <f>T("   Etats-Unis")</f>
        <v xml:space="preserve">   Etats-Unis</v>
      </c>
      <c r="C1355" s="2">
        <v>5162</v>
      </c>
      <c r="D1355" s="2">
        <v>26746395</v>
      </c>
    </row>
    <row r="1356" spans="1:4" s="6" customFormat="1" x14ac:dyDescent="0.25">
      <c r="B1356" s="6" t="str">
        <f>T("   Total Monde")</f>
        <v xml:space="preserve">   Total Monde</v>
      </c>
      <c r="C1356" s="1">
        <v>10306.4</v>
      </c>
      <c r="D1356" s="1">
        <v>112627881</v>
      </c>
    </row>
    <row r="1357" spans="1:4" s="6" customFormat="1" x14ac:dyDescent="0.25">
      <c r="A1357" s="6" t="str">
        <f>T("730820")</f>
        <v>730820</v>
      </c>
      <c r="B1357" s="6" t="str">
        <f>T("TOURS ET PYLONES")</f>
        <v>TOURS ET PYLONES</v>
      </c>
      <c r="C1357" s="1"/>
      <c r="D1357" s="1"/>
    </row>
    <row r="1358" spans="1:4" x14ac:dyDescent="0.25">
      <c r="B1358" t="str">
        <f>T("   Nigéria")</f>
        <v xml:space="preserve">   Nigéria</v>
      </c>
      <c r="C1358" s="2">
        <v>194250</v>
      </c>
      <c r="D1358" s="2">
        <v>141423498</v>
      </c>
    </row>
    <row r="1359" spans="1:4" s="6" customFormat="1" x14ac:dyDescent="0.25">
      <c r="B1359" s="6" t="str">
        <f>T("   Total Monde")</f>
        <v xml:space="preserve">   Total Monde</v>
      </c>
      <c r="C1359" s="1">
        <v>194250</v>
      </c>
      <c r="D1359" s="1">
        <v>141423498</v>
      </c>
    </row>
    <row r="1360" spans="1:4" s="6" customFormat="1" x14ac:dyDescent="0.25">
      <c r="A1360" s="6" t="str">
        <f>T("730840")</f>
        <v>730840</v>
      </c>
      <c r="B1360" s="6" t="str">
        <f>T("MATERIEL D'ECHAFAUDAGE, DE COFFRAGE, D'ETANCONNEMENT OU D'ETAYAGE")</f>
        <v>MATERIEL D'ECHAFAUDAGE, DE COFFRAGE, D'ETANCONNEMENT OU D'ETAYAGE</v>
      </c>
      <c r="C1360" s="1"/>
      <c r="D1360" s="1"/>
    </row>
    <row r="1361" spans="1:4" x14ac:dyDescent="0.25">
      <c r="B1361" t="str">
        <f>T("   Allemagne")</f>
        <v xml:space="preserve">   Allemagne</v>
      </c>
      <c r="C1361" s="2">
        <v>44360</v>
      </c>
      <c r="D1361" s="2">
        <v>120089222</v>
      </c>
    </row>
    <row r="1362" spans="1:4" x14ac:dyDescent="0.25">
      <c r="B1362" t="str">
        <f>T("   Ghana")</f>
        <v xml:space="preserve">   Ghana</v>
      </c>
      <c r="C1362" s="2">
        <v>12500</v>
      </c>
      <c r="D1362" s="2">
        <v>2033476</v>
      </c>
    </row>
    <row r="1363" spans="1:4" x14ac:dyDescent="0.25">
      <c r="B1363" t="str">
        <f>T("   Pays-bas")</f>
        <v xml:space="preserve">   Pays-bas</v>
      </c>
      <c r="C1363" s="2">
        <v>1750</v>
      </c>
      <c r="D1363" s="2">
        <v>5525440</v>
      </c>
    </row>
    <row r="1364" spans="1:4" x14ac:dyDescent="0.25">
      <c r="B1364" t="str">
        <f>T("   Tchad")</f>
        <v xml:space="preserve">   Tchad</v>
      </c>
      <c r="C1364" s="2">
        <v>105335</v>
      </c>
      <c r="D1364" s="2">
        <v>26228663</v>
      </c>
    </row>
    <row r="1365" spans="1:4" s="6" customFormat="1" x14ac:dyDescent="0.25">
      <c r="B1365" s="6" t="str">
        <f>T("   Total Monde")</f>
        <v xml:space="preserve">   Total Monde</v>
      </c>
      <c r="C1365" s="1">
        <v>163945</v>
      </c>
      <c r="D1365" s="1">
        <v>153876801</v>
      </c>
    </row>
    <row r="1366" spans="1:4" s="6" customFormat="1" x14ac:dyDescent="0.25">
      <c r="A1366" s="6" t="str">
        <f>T("730900")</f>
        <v>730900</v>
      </c>
      <c r="B1366" s="6" t="str">
        <f>T("RESERVOIRS, FOUDRES, CUVES ET RECIPIENTS SIMILAIRES POUR TOUTES MATIERES (A L'EXCEPTION")</f>
        <v>RESERVOIRS, FOUDRES, CUVES ET RECIPIENTS SIMILAIRES POUR TOUTES MATIERES (A L'EXCEPTION</v>
      </c>
      <c r="C1366" s="1"/>
      <c r="D1366" s="1"/>
    </row>
    <row r="1367" spans="1:4" x14ac:dyDescent="0.25">
      <c r="B1367" t="str">
        <f>T("   France")</f>
        <v xml:space="preserve">   France</v>
      </c>
      <c r="C1367" s="2">
        <v>70040</v>
      </c>
      <c r="D1367" s="2">
        <v>91134398</v>
      </c>
    </row>
    <row r="1368" spans="1:4" x14ac:dyDescent="0.25">
      <c r="B1368" t="str">
        <f>T("   Gabon")</f>
        <v xml:space="preserve">   Gabon</v>
      </c>
      <c r="C1368" s="2">
        <v>47082</v>
      </c>
      <c r="D1368" s="2">
        <v>421063149</v>
      </c>
    </row>
    <row r="1369" spans="1:4" x14ac:dyDescent="0.25">
      <c r="B1369" t="str">
        <f>T("   Ghana")</f>
        <v xml:space="preserve">   Ghana</v>
      </c>
      <c r="C1369" s="2">
        <v>2320</v>
      </c>
      <c r="D1369" s="2">
        <v>26332145</v>
      </c>
    </row>
    <row r="1370" spans="1:4" x14ac:dyDescent="0.25">
      <c r="B1370" t="str">
        <f>T("   Etats-Unis")</f>
        <v xml:space="preserve">   Etats-Unis</v>
      </c>
      <c r="C1370" s="2">
        <v>4445</v>
      </c>
      <c r="D1370" s="2">
        <v>15336193</v>
      </c>
    </row>
    <row r="1371" spans="1:4" s="6" customFormat="1" x14ac:dyDescent="0.25">
      <c r="B1371" s="6" t="str">
        <f>T("   Total Monde")</f>
        <v xml:space="preserve">   Total Monde</v>
      </c>
      <c r="C1371" s="1">
        <v>123887</v>
      </c>
      <c r="D1371" s="1">
        <v>553865885</v>
      </c>
    </row>
    <row r="1372" spans="1:4" s="6" customFormat="1" x14ac:dyDescent="0.25">
      <c r="A1372" s="6" t="str">
        <f>T("731010")</f>
        <v>731010</v>
      </c>
      <c r="B1372" s="6" t="str">
        <f>T("D'UNE CONTENANCE DE 50 L OU PLUS")</f>
        <v>D'UNE CONTENANCE DE 50 L OU PLUS</v>
      </c>
      <c r="C1372" s="1"/>
      <c r="D1372" s="1"/>
    </row>
    <row r="1373" spans="1:4" x14ac:dyDescent="0.25">
      <c r="B1373" t="str">
        <f>T("   Belgique")</f>
        <v xml:space="preserve">   Belgique</v>
      </c>
      <c r="C1373" s="2">
        <v>4600</v>
      </c>
      <c r="D1373" s="2">
        <v>11535974</v>
      </c>
    </row>
    <row r="1374" spans="1:4" x14ac:dyDescent="0.25">
      <c r="B1374" t="str">
        <f>T("   Gabon")</f>
        <v xml:space="preserve">   Gabon</v>
      </c>
      <c r="C1374" s="2">
        <v>17500</v>
      </c>
      <c r="D1374" s="2">
        <v>29419181</v>
      </c>
    </row>
    <row r="1375" spans="1:4" s="6" customFormat="1" x14ac:dyDescent="0.25">
      <c r="B1375" s="6" t="str">
        <f>T("   Total Monde")</f>
        <v xml:space="preserve">   Total Monde</v>
      </c>
      <c r="C1375" s="1">
        <v>22100</v>
      </c>
      <c r="D1375" s="1">
        <v>40955155</v>
      </c>
    </row>
    <row r="1376" spans="1:4" s="6" customFormat="1" x14ac:dyDescent="0.25">
      <c r="A1376" s="6" t="str">
        <f>T("731021")</f>
        <v>731021</v>
      </c>
      <c r="B1376" s="6" t="str">
        <f>T("BOITES A FERMER PAR SOUDAGE OU SERTISSAGE")</f>
        <v>BOITES A FERMER PAR SOUDAGE OU SERTISSAGE</v>
      </c>
      <c r="C1376" s="1"/>
      <c r="D1376" s="1"/>
    </row>
    <row r="1377" spans="1:4" x14ac:dyDescent="0.25">
      <c r="B1377" t="str">
        <f>T("   Burkina Faso")</f>
        <v xml:space="preserve">   Burkina Faso</v>
      </c>
      <c r="C1377" s="2">
        <v>60940</v>
      </c>
      <c r="D1377" s="2">
        <v>26093488</v>
      </c>
    </row>
    <row r="1378" spans="1:4" x14ac:dyDescent="0.25">
      <c r="B1378" t="str">
        <f>T("   Côte d'Ivoire")</f>
        <v xml:space="preserve">   Côte d'Ivoire</v>
      </c>
      <c r="C1378" s="2">
        <v>17012</v>
      </c>
      <c r="D1378" s="2">
        <v>6190048</v>
      </c>
    </row>
    <row r="1379" spans="1:4" x14ac:dyDescent="0.25">
      <c r="B1379" t="str">
        <f>T("   Mali")</f>
        <v xml:space="preserve">   Mali</v>
      </c>
      <c r="C1379" s="2">
        <v>97185</v>
      </c>
      <c r="D1379" s="2">
        <v>46870269</v>
      </c>
    </row>
    <row r="1380" spans="1:4" x14ac:dyDescent="0.25">
      <c r="B1380" t="str">
        <f>T("   Niger")</f>
        <v xml:space="preserve">   Niger</v>
      </c>
      <c r="C1380" s="2">
        <v>51202</v>
      </c>
      <c r="D1380" s="2">
        <v>20752974</v>
      </c>
    </row>
    <row r="1381" spans="1:4" x14ac:dyDescent="0.25">
      <c r="B1381" t="str">
        <f>T("   Sénégal")</f>
        <v xml:space="preserve">   Sénégal</v>
      </c>
      <c r="C1381" s="2">
        <v>15969</v>
      </c>
      <c r="D1381" s="2">
        <v>8848475</v>
      </c>
    </row>
    <row r="1382" spans="1:4" x14ac:dyDescent="0.25">
      <c r="B1382" t="str">
        <f>T("   Tchad")</f>
        <v xml:space="preserve">   Tchad</v>
      </c>
      <c r="C1382" s="2">
        <v>6708</v>
      </c>
      <c r="D1382" s="2">
        <v>2375254</v>
      </c>
    </row>
    <row r="1383" spans="1:4" s="6" customFormat="1" x14ac:dyDescent="0.25">
      <c r="B1383" s="6" t="str">
        <f>T("   Total Monde")</f>
        <v xml:space="preserve">   Total Monde</v>
      </c>
      <c r="C1383" s="1">
        <v>249016</v>
      </c>
      <c r="D1383" s="1">
        <v>111130508</v>
      </c>
    </row>
    <row r="1384" spans="1:4" s="6" customFormat="1" x14ac:dyDescent="0.25">
      <c r="A1384" s="6" t="str">
        <f>T("731029")</f>
        <v>731029</v>
      </c>
      <c r="B1384" s="6" t="str">
        <f>T("AUTRES")</f>
        <v>AUTRES</v>
      </c>
      <c r="C1384" s="1"/>
      <c r="D1384" s="1"/>
    </row>
    <row r="1385" spans="1:4" x14ac:dyDescent="0.25">
      <c r="B1385" t="str">
        <f>T("   Congo (Brazzaville)")</f>
        <v xml:space="preserve">   Congo (Brazzaville)</v>
      </c>
      <c r="C1385" s="2">
        <v>814</v>
      </c>
      <c r="D1385" s="2">
        <v>14294024</v>
      </c>
    </row>
    <row r="1386" spans="1:4" x14ac:dyDescent="0.25">
      <c r="B1386" t="str">
        <f>T("   Gabon")</f>
        <v xml:space="preserve">   Gabon</v>
      </c>
      <c r="C1386" s="2">
        <v>2382</v>
      </c>
      <c r="D1386" s="2">
        <v>4232115</v>
      </c>
    </row>
    <row r="1387" spans="1:4" x14ac:dyDescent="0.25">
      <c r="B1387" t="str">
        <f>T("   Turquie")</f>
        <v xml:space="preserve">   Turquie</v>
      </c>
      <c r="C1387" s="2">
        <v>826500</v>
      </c>
      <c r="D1387" s="2">
        <v>836058497</v>
      </c>
    </row>
    <row r="1388" spans="1:4" x14ac:dyDescent="0.25">
      <c r="B1388" t="str">
        <f>T("   Etats-Unis")</f>
        <v xml:space="preserve">   Etats-Unis</v>
      </c>
      <c r="C1388" s="2">
        <v>7160</v>
      </c>
      <c r="D1388" s="2">
        <v>63675421</v>
      </c>
    </row>
    <row r="1389" spans="1:4" s="6" customFormat="1" x14ac:dyDescent="0.25">
      <c r="B1389" s="6" t="str">
        <f>T("   Total Monde")</f>
        <v xml:space="preserve">   Total Monde</v>
      </c>
      <c r="C1389" s="1">
        <v>836856</v>
      </c>
      <c r="D1389" s="1">
        <v>918260057</v>
      </c>
    </row>
    <row r="1390" spans="1:4" s="6" customFormat="1" x14ac:dyDescent="0.25">
      <c r="A1390" s="6" t="str">
        <f>T("731100")</f>
        <v>731100</v>
      </c>
      <c r="B1390" s="6" t="str">
        <f>T("RECIPIENTS POUR GAZ COMPRIMES OU LIQUEFIES, EN FONTE, FER OU ACIER.")</f>
        <v>RECIPIENTS POUR GAZ COMPRIMES OU LIQUEFIES, EN FONTE, FER OU ACIER.</v>
      </c>
      <c r="C1390" s="1"/>
      <c r="D1390" s="1"/>
    </row>
    <row r="1391" spans="1:4" x14ac:dyDescent="0.25">
      <c r="B1391" t="str">
        <f>T("   Gabon")</f>
        <v xml:space="preserve">   Gabon</v>
      </c>
      <c r="C1391" s="2">
        <v>5778</v>
      </c>
      <c r="D1391" s="2">
        <v>172592661</v>
      </c>
    </row>
    <row r="1392" spans="1:4" x14ac:dyDescent="0.25">
      <c r="B1392" t="str">
        <f>T("   Ghana")</f>
        <v xml:space="preserve">   Ghana</v>
      </c>
      <c r="C1392" s="2">
        <v>21300</v>
      </c>
      <c r="D1392" s="2">
        <v>74493213</v>
      </c>
    </row>
    <row r="1393" spans="1:4" x14ac:dyDescent="0.25">
      <c r="B1393" t="str">
        <f>T("   Pays-bas")</f>
        <v xml:space="preserve">   Pays-bas</v>
      </c>
      <c r="C1393" s="2">
        <v>348.2</v>
      </c>
      <c r="D1393" s="2">
        <v>26528397</v>
      </c>
    </row>
    <row r="1394" spans="1:4" s="6" customFormat="1" x14ac:dyDescent="0.25">
      <c r="B1394" s="6" t="str">
        <f>T("   Total Monde")</f>
        <v xml:space="preserve">   Total Monde</v>
      </c>
      <c r="C1394" s="1">
        <v>27426.2</v>
      </c>
      <c r="D1394" s="1">
        <v>273614271</v>
      </c>
    </row>
    <row r="1395" spans="1:4" s="6" customFormat="1" x14ac:dyDescent="0.25">
      <c r="A1395" s="6" t="str">
        <f>T("731210")</f>
        <v>731210</v>
      </c>
      <c r="B1395" s="6" t="str">
        <f>T("TORONS ET CABLES")</f>
        <v>TORONS ET CABLES</v>
      </c>
      <c r="C1395" s="1"/>
      <c r="D1395" s="1"/>
    </row>
    <row r="1396" spans="1:4" x14ac:dyDescent="0.25">
      <c r="B1396" t="str">
        <f>T("   Côte d'Ivoire")</f>
        <v xml:space="preserve">   Côte d'Ivoire</v>
      </c>
      <c r="C1396" s="2">
        <v>318</v>
      </c>
      <c r="D1396" s="2">
        <v>95000</v>
      </c>
    </row>
    <row r="1397" spans="1:4" x14ac:dyDescent="0.25">
      <c r="B1397" t="str">
        <f>T("   Ghana")</f>
        <v xml:space="preserve">   Ghana</v>
      </c>
      <c r="C1397" s="2">
        <v>179</v>
      </c>
      <c r="D1397" s="2">
        <v>3235328</v>
      </c>
    </row>
    <row r="1398" spans="1:4" x14ac:dyDescent="0.25">
      <c r="B1398" t="str">
        <f>T("   Guinée Equatoriale")</f>
        <v xml:space="preserve">   Guinée Equatoriale</v>
      </c>
      <c r="C1398" s="2">
        <v>414</v>
      </c>
      <c r="D1398" s="2">
        <v>2052514</v>
      </c>
    </row>
    <row r="1399" spans="1:4" x14ac:dyDescent="0.25">
      <c r="B1399" t="str">
        <f>T("   Pays-bas")</f>
        <v xml:space="preserve">   Pays-bas</v>
      </c>
      <c r="C1399" s="2">
        <v>6020</v>
      </c>
      <c r="D1399" s="2">
        <v>42844947</v>
      </c>
    </row>
    <row r="1400" spans="1:4" s="6" customFormat="1" x14ac:dyDescent="0.25">
      <c r="B1400" s="6" t="str">
        <f>T("   Total Monde")</f>
        <v xml:space="preserve">   Total Monde</v>
      </c>
      <c r="C1400" s="1">
        <v>6931</v>
      </c>
      <c r="D1400" s="1">
        <v>48227789</v>
      </c>
    </row>
    <row r="1401" spans="1:4" s="6" customFormat="1" x14ac:dyDescent="0.25">
      <c r="A1401" s="6" t="str">
        <f>T("731290")</f>
        <v>731290</v>
      </c>
      <c r="B1401" s="6" t="str">
        <f>T("AUTRES")</f>
        <v>AUTRES</v>
      </c>
      <c r="C1401" s="1"/>
      <c r="D1401" s="1"/>
    </row>
    <row r="1402" spans="1:4" x14ac:dyDescent="0.25">
      <c r="B1402" t="str">
        <f>T("   Congo (Brazzaville)")</f>
        <v xml:space="preserve">   Congo (Brazzaville)</v>
      </c>
      <c r="C1402" s="2">
        <v>58</v>
      </c>
      <c r="D1402" s="2">
        <v>1021986</v>
      </c>
    </row>
    <row r="1403" spans="1:4" x14ac:dyDescent="0.25">
      <c r="B1403" t="str">
        <f>T("   Gabon")</f>
        <v xml:space="preserve">   Gabon</v>
      </c>
      <c r="C1403" s="2">
        <v>210</v>
      </c>
      <c r="D1403" s="2">
        <v>2793566</v>
      </c>
    </row>
    <row r="1404" spans="1:4" x14ac:dyDescent="0.25">
      <c r="B1404" t="str">
        <f>T("   Mali")</f>
        <v xml:space="preserve">   Mali</v>
      </c>
      <c r="C1404" s="2">
        <v>509</v>
      </c>
      <c r="D1404" s="2">
        <v>3478148</v>
      </c>
    </row>
    <row r="1405" spans="1:4" x14ac:dyDescent="0.25">
      <c r="B1405" t="str">
        <f>T("   Etats-Unis")</f>
        <v xml:space="preserve">   Etats-Unis</v>
      </c>
      <c r="C1405" s="2">
        <v>13</v>
      </c>
      <c r="D1405" s="2">
        <v>110035</v>
      </c>
    </row>
    <row r="1406" spans="1:4" s="6" customFormat="1" x14ac:dyDescent="0.25">
      <c r="B1406" s="6" t="str">
        <f>T("   Total Monde")</f>
        <v xml:space="preserve">   Total Monde</v>
      </c>
      <c r="C1406" s="1">
        <v>790</v>
      </c>
      <c r="D1406" s="1">
        <v>7403735</v>
      </c>
    </row>
    <row r="1407" spans="1:4" s="6" customFormat="1" x14ac:dyDescent="0.25">
      <c r="A1407" s="6" t="str">
        <f>T("731420")</f>
        <v>731420</v>
      </c>
      <c r="B1407" s="6" t="str">
        <f>T("GRILLAGES ET TREILLIS, SOUDES AUX POINTS DE RENCONTRE, EN FILS DONT LA PLUS GRANDE DI")</f>
        <v>GRILLAGES ET TREILLIS, SOUDES AUX POINTS DE RENCONTRE, EN FILS DONT LA PLUS GRANDE DI</v>
      </c>
      <c r="C1407" s="1"/>
      <c r="D1407" s="1"/>
    </row>
    <row r="1408" spans="1:4" x14ac:dyDescent="0.25">
      <c r="B1408" t="str">
        <f>T("   Pays-bas")</f>
        <v xml:space="preserve">   Pays-bas</v>
      </c>
      <c r="C1408" s="2">
        <v>8250</v>
      </c>
      <c r="D1408" s="2">
        <v>27436838</v>
      </c>
    </row>
    <row r="1409" spans="1:4" s="6" customFormat="1" x14ac:dyDescent="0.25">
      <c r="B1409" s="6" t="str">
        <f>T("   Total Monde")</f>
        <v xml:space="preserve">   Total Monde</v>
      </c>
      <c r="C1409" s="1">
        <v>8250</v>
      </c>
      <c r="D1409" s="1">
        <v>27436838</v>
      </c>
    </row>
    <row r="1410" spans="1:4" s="6" customFormat="1" x14ac:dyDescent="0.25">
      <c r="A1410" s="6" t="str">
        <f>T("731600")</f>
        <v>731600</v>
      </c>
      <c r="B1410" s="6" t="str">
        <f>T("ANCRES, GRAPPINS ET LEURS PARTIES, EN FONTE, FER OU ACIER.")</f>
        <v>ANCRES, GRAPPINS ET LEURS PARTIES, EN FONTE, FER OU ACIER.</v>
      </c>
      <c r="C1410" s="1"/>
      <c r="D1410" s="1"/>
    </row>
    <row r="1411" spans="1:4" x14ac:dyDescent="0.25">
      <c r="B1411" t="str">
        <f>T("   Norvège")</f>
        <v xml:space="preserve">   Norvège</v>
      </c>
      <c r="C1411" s="2">
        <v>3.4</v>
      </c>
      <c r="D1411" s="2">
        <v>563045</v>
      </c>
    </row>
    <row r="1412" spans="1:4" s="6" customFormat="1" x14ac:dyDescent="0.25">
      <c r="B1412" s="6" t="str">
        <f>T("   Total Monde")</f>
        <v xml:space="preserve">   Total Monde</v>
      </c>
      <c r="C1412" s="1">
        <v>3.4</v>
      </c>
      <c r="D1412" s="1">
        <v>563045</v>
      </c>
    </row>
    <row r="1413" spans="1:4" s="6" customFormat="1" x14ac:dyDescent="0.25">
      <c r="A1413" s="6" t="str">
        <f>T("731700")</f>
        <v>731700</v>
      </c>
      <c r="B1413" s="6" t="str">
        <f>T("POINTES, CLOUS, PUNAISES, CRAMPONS APPOINTES, AGRAFES ONDULEES OU BISEAUTEES ET ARTICLE")</f>
        <v>POINTES, CLOUS, PUNAISES, CRAMPONS APPOINTES, AGRAFES ONDULEES OU BISEAUTEES ET ARTICLE</v>
      </c>
      <c r="C1413" s="1"/>
      <c r="D1413" s="1"/>
    </row>
    <row r="1414" spans="1:4" x14ac:dyDescent="0.25">
      <c r="B1414" t="str">
        <f>T("   Burkina Faso")</f>
        <v xml:space="preserve">   Burkina Faso</v>
      </c>
      <c r="C1414" s="2">
        <v>16000</v>
      </c>
      <c r="D1414" s="2">
        <v>4261120</v>
      </c>
    </row>
    <row r="1415" spans="1:4" x14ac:dyDescent="0.25">
      <c r="B1415" t="str">
        <f>T("   Niger")</f>
        <v xml:space="preserve">   Niger</v>
      </c>
      <c r="C1415" s="2">
        <v>337000</v>
      </c>
      <c r="D1415" s="2">
        <v>110900000</v>
      </c>
    </row>
    <row r="1416" spans="1:4" x14ac:dyDescent="0.25">
      <c r="B1416" t="str">
        <f>T("   Tchad")</f>
        <v xml:space="preserve">   Tchad</v>
      </c>
      <c r="C1416" s="2">
        <v>837000</v>
      </c>
      <c r="D1416" s="2">
        <v>439088720</v>
      </c>
    </row>
    <row r="1417" spans="1:4" x14ac:dyDescent="0.25">
      <c r="B1417" t="str">
        <f>T("   Togo")</f>
        <v xml:space="preserve">   Togo</v>
      </c>
      <c r="C1417" s="2">
        <v>43125</v>
      </c>
      <c r="D1417" s="2">
        <v>14015625</v>
      </c>
    </row>
    <row r="1418" spans="1:4" s="6" customFormat="1" x14ac:dyDescent="0.25">
      <c r="B1418" s="6" t="str">
        <f>T("   Total Monde")</f>
        <v xml:space="preserve">   Total Monde</v>
      </c>
      <c r="C1418" s="1">
        <v>1233125</v>
      </c>
      <c r="D1418" s="1">
        <v>568265465</v>
      </c>
    </row>
    <row r="1419" spans="1:4" s="6" customFormat="1" x14ac:dyDescent="0.25">
      <c r="A1419" s="6" t="str">
        <f>T("731815")</f>
        <v>731815</v>
      </c>
      <c r="B1419" s="6" t="str">
        <f>T("AUTRES VIS ET BOULONS, MEME AVEC LEURS ECROUS OU RONDELLES")</f>
        <v>AUTRES VIS ET BOULONS, MEME AVEC LEURS ECROUS OU RONDELLES</v>
      </c>
      <c r="C1419" s="1"/>
      <c r="D1419" s="1"/>
    </row>
    <row r="1420" spans="1:4" x14ac:dyDescent="0.25">
      <c r="B1420" t="str">
        <f>T("   Gabon")</f>
        <v xml:space="preserve">   Gabon</v>
      </c>
      <c r="C1420" s="2">
        <v>1290</v>
      </c>
      <c r="D1420" s="2">
        <v>260839531</v>
      </c>
    </row>
    <row r="1421" spans="1:4" x14ac:dyDescent="0.25">
      <c r="B1421" t="str">
        <f>T("   Pays-bas")</f>
        <v xml:space="preserve">   Pays-bas</v>
      </c>
      <c r="C1421" s="2">
        <v>5921</v>
      </c>
      <c r="D1421" s="2">
        <v>58081068</v>
      </c>
    </row>
    <row r="1422" spans="1:4" x14ac:dyDescent="0.25">
      <c r="B1422" t="str">
        <f>T("   Etats-Unis")</f>
        <v xml:space="preserve">   Etats-Unis</v>
      </c>
      <c r="C1422" s="2">
        <v>118</v>
      </c>
      <c r="D1422" s="2">
        <v>4930448</v>
      </c>
    </row>
    <row r="1423" spans="1:4" s="6" customFormat="1" x14ac:dyDescent="0.25">
      <c r="B1423" s="6" t="str">
        <f>T("   Total Monde")</f>
        <v xml:space="preserve">   Total Monde</v>
      </c>
      <c r="C1423" s="1">
        <v>7329</v>
      </c>
      <c r="D1423" s="1">
        <v>323851047</v>
      </c>
    </row>
    <row r="1424" spans="1:4" s="6" customFormat="1" x14ac:dyDescent="0.25">
      <c r="A1424" s="6" t="str">
        <f>T("731829")</f>
        <v>731829</v>
      </c>
      <c r="B1424" s="6" t="str">
        <f>T("AUTRES")</f>
        <v>AUTRES</v>
      </c>
      <c r="C1424" s="1"/>
      <c r="D1424" s="1"/>
    </row>
    <row r="1425" spans="1:4" x14ac:dyDescent="0.25">
      <c r="B1425" t="str">
        <f>T("   Gabon")</f>
        <v xml:space="preserve">   Gabon</v>
      </c>
      <c r="C1425" s="2">
        <v>476</v>
      </c>
      <c r="D1425" s="2">
        <v>9139877</v>
      </c>
    </row>
    <row r="1426" spans="1:4" s="6" customFormat="1" x14ac:dyDescent="0.25">
      <c r="B1426" s="6" t="str">
        <f>T("   Total Monde")</f>
        <v xml:space="preserve">   Total Monde</v>
      </c>
      <c r="C1426" s="1">
        <v>476</v>
      </c>
      <c r="D1426" s="1">
        <v>9139877</v>
      </c>
    </row>
    <row r="1427" spans="1:4" s="6" customFormat="1" x14ac:dyDescent="0.25">
      <c r="A1427" s="6" t="str">
        <f>T("731930")</f>
        <v>731930</v>
      </c>
      <c r="B1427" s="6" t="str">
        <f>T("AUTRES EPINGLES, EN FER OU ACIER")</f>
        <v>AUTRES EPINGLES, EN FER OU ACIER</v>
      </c>
      <c r="C1427" s="1"/>
      <c r="D1427" s="1"/>
    </row>
    <row r="1428" spans="1:4" x14ac:dyDescent="0.25">
      <c r="B1428" t="str">
        <f>T("   Royaume-Uni")</f>
        <v xml:space="preserve">   Royaume-Uni</v>
      </c>
      <c r="C1428" s="2">
        <v>12</v>
      </c>
      <c r="D1428" s="2">
        <v>183406</v>
      </c>
    </row>
    <row r="1429" spans="1:4" s="6" customFormat="1" x14ac:dyDescent="0.25">
      <c r="B1429" s="6" t="str">
        <f>T("   Total Monde")</f>
        <v xml:space="preserve">   Total Monde</v>
      </c>
      <c r="C1429" s="1">
        <v>12</v>
      </c>
      <c r="D1429" s="1">
        <v>183406</v>
      </c>
    </row>
    <row r="1430" spans="1:4" s="6" customFormat="1" x14ac:dyDescent="0.25">
      <c r="A1430" s="6" t="str">
        <f>T("732290")</f>
        <v>732290</v>
      </c>
      <c r="B1430" s="6" t="str">
        <f>T("AUTRES")</f>
        <v>AUTRES</v>
      </c>
      <c r="C1430" s="1"/>
      <c r="D1430" s="1"/>
    </row>
    <row r="1431" spans="1:4" x14ac:dyDescent="0.25">
      <c r="B1431" t="str">
        <f>T("   Côte d'Ivoire")</f>
        <v xml:space="preserve">   Côte d'Ivoire</v>
      </c>
      <c r="C1431" s="2">
        <v>20000</v>
      </c>
      <c r="D1431" s="2">
        <v>1730000</v>
      </c>
    </row>
    <row r="1432" spans="1:4" s="6" customFormat="1" x14ac:dyDescent="0.25">
      <c r="B1432" s="6" t="str">
        <f>T("   Total Monde")</f>
        <v xml:space="preserve">   Total Monde</v>
      </c>
      <c r="C1432" s="1">
        <v>20000</v>
      </c>
      <c r="D1432" s="1">
        <v>1730000</v>
      </c>
    </row>
    <row r="1433" spans="1:4" s="6" customFormat="1" x14ac:dyDescent="0.25">
      <c r="A1433" s="6" t="str">
        <f>T("732394")</f>
        <v>732394</v>
      </c>
      <c r="B1433" s="6" t="str">
        <f>T("EN FER OU EN ACIER, EMAILLES")</f>
        <v>EN FER OU EN ACIER, EMAILLES</v>
      </c>
      <c r="C1433" s="1"/>
      <c r="D1433" s="1"/>
    </row>
    <row r="1434" spans="1:4" x14ac:dyDescent="0.25">
      <c r="B1434" t="str">
        <f>T("   Bosnie Herzégovine")</f>
        <v xml:space="preserve">   Bosnie Herzégovine</v>
      </c>
      <c r="C1434" s="2">
        <v>400</v>
      </c>
      <c r="D1434" s="2">
        <v>300000</v>
      </c>
    </row>
    <row r="1435" spans="1:4" x14ac:dyDescent="0.25">
      <c r="B1435" t="str">
        <f>T("   Belgique")</f>
        <v xml:space="preserve">   Belgique</v>
      </c>
      <c r="C1435" s="2">
        <v>1450</v>
      </c>
      <c r="D1435" s="2">
        <v>1500000</v>
      </c>
    </row>
    <row r="1436" spans="1:4" x14ac:dyDescent="0.25">
      <c r="B1436" t="str">
        <f>T("   Burkina Faso")</f>
        <v xml:space="preserve">   Burkina Faso</v>
      </c>
      <c r="C1436" s="2">
        <v>400</v>
      </c>
      <c r="D1436" s="2">
        <v>400000</v>
      </c>
    </row>
    <row r="1437" spans="1:4" x14ac:dyDescent="0.25">
      <c r="B1437" t="str">
        <f>T("   Congo, République Démocratique")</f>
        <v xml:space="preserve">   Congo, République Démocratique</v>
      </c>
      <c r="C1437" s="2">
        <v>700</v>
      </c>
      <c r="D1437" s="2">
        <v>700000</v>
      </c>
    </row>
    <row r="1438" spans="1:4" x14ac:dyDescent="0.25">
      <c r="B1438" t="str">
        <f>T("   Côte d'Ivoire")</f>
        <v xml:space="preserve">   Côte d'Ivoire</v>
      </c>
      <c r="C1438" s="2">
        <v>101</v>
      </c>
      <c r="D1438" s="2">
        <v>300000</v>
      </c>
    </row>
    <row r="1439" spans="1:4" x14ac:dyDescent="0.25">
      <c r="B1439" t="str">
        <f>T("   Cameroun")</f>
        <v xml:space="preserve">   Cameroun</v>
      </c>
      <c r="C1439" s="2">
        <v>1130</v>
      </c>
      <c r="D1439" s="2">
        <v>1050000</v>
      </c>
    </row>
    <row r="1440" spans="1:4" x14ac:dyDescent="0.25">
      <c r="B1440" t="str">
        <f>T("   Tchécoslovaquie")</f>
        <v xml:space="preserve">   Tchécoslovaquie</v>
      </c>
      <c r="C1440" s="2">
        <v>200</v>
      </c>
      <c r="D1440" s="2">
        <v>100000</v>
      </c>
    </row>
    <row r="1441" spans="2:4" x14ac:dyDescent="0.25">
      <c r="B1441" t="str">
        <f>T("   Allemagne")</f>
        <v xml:space="preserve">   Allemagne</v>
      </c>
      <c r="C1441" s="2">
        <v>900</v>
      </c>
      <c r="D1441" s="2">
        <v>800000</v>
      </c>
    </row>
    <row r="1442" spans="2:4" x14ac:dyDescent="0.25">
      <c r="B1442" t="str">
        <f>T("   Fiji")</f>
        <v xml:space="preserve">   Fiji</v>
      </c>
      <c r="C1442" s="2">
        <v>600</v>
      </c>
      <c r="D1442" s="2">
        <v>500000</v>
      </c>
    </row>
    <row r="1443" spans="2:4" x14ac:dyDescent="0.25">
      <c r="B1443" t="str">
        <f>T("   France")</f>
        <v xml:space="preserve">   France</v>
      </c>
      <c r="C1443" s="2">
        <v>1000</v>
      </c>
      <c r="D1443" s="2">
        <v>1350000</v>
      </c>
    </row>
    <row r="1444" spans="2:4" x14ac:dyDescent="0.25">
      <c r="B1444" t="str">
        <f>T("   Gabon")</f>
        <v xml:space="preserve">   Gabon</v>
      </c>
      <c r="C1444" s="2">
        <v>1430</v>
      </c>
      <c r="D1444" s="2">
        <v>500500</v>
      </c>
    </row>
    <row r="1445" spans="2:4" x14ac:dyDescent="0.25">
      <c r="B1445" t="str">
        <f>T("   Ghana")</f>
        <v xml:space="preserve">   Ghana</v>
      </c>
      <c r="C1445" s="2">
        <v>950</v>
      </c>
      <c r="D1445" s="2">
        <v>1500000</v>
      </c>
    </row>
    <row r="1446" spans="2:4" x14ac:dyDescent="0.25">
      <c r="B1446" t="str">
        <f>T("   Guinée Equatoriale")</f>
        <v xml:space="preserve">   Guinée Equatoriale</v>
      </c>
      <c r="C1446" s="2">
        <v>620</v>
      </c>
      <c r="D1446" s="2">
        <v>1000000</v>
      </c>
    </row>
    <row r="1447" spans="2:4" x14ac:dyDescent="0.25">
      <c r="B1447" t="str">
        <f>T("   Japon")</f>
        <v xml:space="preserve">   Japon</v>
      </c>
      <c r="C1447" s="2">
        <v>500</v>
      </c>
      <c r="D1447" s="2">
        <v>450000</v>
      </c>
    </row>
    <row r="1448" spans="2:4" x14ac:dyDescent="0.25">
      <c r="B1448" t="str">
        <f>T("   Kenya")</f>
        <v xml:space="preserve">   Kenya</v>
      </c>
      <c r="C1448" s="2">
        <v>300</v>
      </c>
      <c r="D1448" s="2">
        <v>400000</v>
      </c>
    </row>
    <row r="1449" spans="2:4" x14ac:dyDescent="0.25">
      <c r="B1449" t="str">
        <f>T("   Liban")</f>
        <v xml:space="preserve">   Liban</v>
      </c>
      <c r="C1449" s="2">
        <v>200</v>
      </c>
      <c r="D1449" s="2">
        <v>200000</v>
      </c>
    </row>
    <row r="1450" spans="2:4" x14ac:dyDescent="0.25">
      <c r="B1450" t="str">
        <f>T("   Madagascar")</f>
        <v xml:space="preserve">   Madagascar</v>
      </c>
      <c r="C1450" s="2">
        <v>74</v>
      </c>
      <c r="D1450" s="2">
        <v>40852</v>
      </c>
    </row>
    <row r="1451" spans="2:4" x14ac:dyDescent="0.25">
      <c r="B1451" t="str">
        <f>T("   Nigéria")</f>
        <v xml:space="preserve">   Nigéria</v>
      </c>
      <c r="C1451" s="2">
        <v>500</v>
      </c>
      <c r="D1451" s="2">
        <v>300000</v>
      </c>
    </row>
    <row r="1452" spans="2:4" x14ac:dyDescent="0.25">
      <c r="B1452" t="str">
        <f>T("   Pays-bas")</f>
        <v xml:space="preserve">   Pays-bas</v>
      </c>
      <c r="C1452" s="2">
        <v>100</v>
      </c>
      <c r="D1452" s="2">
        <v>300000</v>
      </c>
    </row>
    <row r="1453" spans="2:4" x14ac:dyDescent="0.25">
      <c r="B1453" t="str">
        <f>T("   Portugal")</f>
        <v xml:space="preserve">   Portugal</v>
      </c>
      <c r="C1453" s="2">
        <v>300</v>
      </c>
      <c r="D1453" s="2">
        <v>200000</v>
      </c>
    </row>
    <row r="1454" spans="2:4" x14ac:dyDescent="0.25">
      <c r="B1454" t="str">
        <f>T("   Sénégal")</f>
        <v xml:space="preserve">   Sénégal</v>
      </c>
      <c r="C1454" s="2">
        <v>2450</v>
      </c>
      <c r="D1454" s="2">
        <v>1600000</v>
      </c>
    </row>
    <row r="1455" spans="2:4" x14ac:dyDescent="0.25">
      <c r="B1455" t="str">
        <f>T("   Togo")</f>
        <v xml:space="preserve">   Togo</v>
      </c>
      <c r="C1455" s="2">
        <v>4246</v>
      </c>
      <c r="D1455" s="2">
        <v>1221096</v>
      </c>
    </row>
    <row r="1456" spans="2:4" x14ac:dyDescent="0.25">
      <c r="B1456" t="str">
        <f>T("   Tunisie")</f>
        <v xml:space="preserve">   Tunisie</v>
      </c>
      <c r="C1456" s="2">
        <v>370</v>
      </c>
      <c r="D1456" s="2">
        <v>500000</v>
      </c>
    </row>
    <row r="1457" spans="1:4" x14ac:dyDescent="0.25">
      <c r="B1457" t="str">
        <f>T("   Etats-Unis")</f>
        <v xml:space="preserve">   Etats-Unis</v>
      </c>
      <c r="C1457" s="2">
        <v>400</v>
      </c>
      <c r="D1457" s="2">
        <v>400000</v>
      </c>
    </row>
    <row r="1458" spans="1:4" x14ac:dyDescent="0.25">
      <c r="B1458" t="str">
        <f>T("   Vietnam")</f>
        <v xml:space="preserve">   Vietnam</v>
      </c>
      <c r="C1458" s="2">
        <v>250</v>
      </c>
      <c r="D1458" s="2">
        <v>300000</v>
      </c>
    </row>
    <row r="1459" spans="1:4" x14ac:dyDescent="0.25">
      <c r="B1459" t="str">
        <f>T("   Afrique du Sud")</f>
        <v xml:space="preserve">   Afrique du Sud</v>
      </c>
      <c r="C1459" s="2">
        <v>100</v>
      </c>
      <c r="D1459" s="2">
        <v>300000</v>
      </c>
    </row>
    <row r="1460" spans="1:4" s="6" customFormat="1" x14ac:dyDescent="0.25">
      <c r="B1460" s="6" t="str">
        <f>T("   Total Monde")</f>
        <v xml:space="preserve">   Total Monde</v>
      </c>
      <c r="C1460" s="1">
        <v>19671</v>
      </c>
      <c r="D1460" s="1">
        <v>16212448</v>
      </c>
    </row>
    <row r="1461" spans="1:4" s="6" customFormat="1" x14ac:dyDescent="0.25">
      <c r="A1461" s="6" t="str">
        <f>T("732399")</f>
        <v>732399</v>
      </c>
      <c r="B1461" s="6" t="str">
        <f>T("AUTRES")</f>
        <v>AUTRES</v>
      </c>
      <c r="C1461" s="1"/>
      <c r="D1461" s="1"/>
    </row>
    <row r="1462" spans="1:4" x14ac:dyDescent="0.25">
      <c r="B1462" t="str">
        <f>T("   Belgique")</f>
        <v xml:space="preserve">   Belgique</v>
      </c>
      <c r="C1462" s="2">
        <v>1500</v>
      </c>
      <c r="D1462" s="2">
        <v>3100000</v>
      </c>
    </row>
    <row r="1463" spans="1:4" x14ac:dyDescent="0.25">
      <c r="B1463" t="str">
        <f>T("   France")</f>
        <v xml:space="preserve">   France</v>
      </c>
      <c r="C1463" s="2">
        <v>8000</v>
      </c>
      <c r="D1463" s="2">
        <v>15100000</v>
      </c>
    </row>
    <row r="1464" spans="1:4" x14ac:dyDescent="0.25">
      <c r="B1464" t="str">
        <f>T("   Gabon")</f>
        <v xml:space="preserve">   Gabon</v>
      </c>
      <c r="C1464" s="2">
        <v>4700</v>
      </c>
      <c r="D1464" s="2">
        <v>6950000</v>
      </c>
    </row>
    <row r="1465" spans="1:4" s="6" customFormat="1" x14ac:dyDescent="0.25">
      <c r="B1465" s="6" t="str">
        <f>T("   Total Monde")</f>
        <v xml:space="preserve">   Total Monde</v>
      </c>
      <c r="C1465" s="1">
        <v>14200</v>
      </c>
      <c r="D1465" s="1">
        <v>25150000</v>
      </c>
    </row>
    <row r="1466" spans="1:4" s="6" customFormat="1" x14ac:dyDescent="0.25">
      <c r="A1466" s="6" t="str">
        <f>T("732619")</f>
        <v>732619</v>
      </c>
      <c r="B1466" s="6" t="str">
        <f>T("AUTRES")</f>
        <v>AUTRES</v>
      </c>
      <c r="C1466" s="1"/>
      <c r="D1466" s="1"/>
    </row>
    <row r="1467" spans="1:4" x14ac:dyDescent="0.25">
      <c r="B1467" t="str">
        <f>T("   Turquie")</f>
        <v xml:space="preserve">   Turquie</v>
      </c>
      <c r="C1467" s="2">
        <v>41005</v>
      </c>
      <c r="D1467" s="2">
        <v>894880928</v>
      </c>
    </row>
    <row r="1468" spans="1:4" s="6" customFormat="1" x14ac:dyDescent="0.25">
      <c r="B1468" s="6" t="str">
        <f>T("   Total Monde")</f>
        <v xml:space="preserve">   Total Monde</v>
      </c>
      <c r="C1468" s="1">
        <v>41005</v>
      </c>
      <c r="D1468" s="1">
        <v>894880928</v>
      </c>
    </row>
    <row r="1469" spans="1:4" s="6" customFormat="1" x14ac:dyDescent="0.25">
      <c r="A1469" s="6" t="str">
        <f>T("732690")</f>
        <v>732690</v>
      </c>
      <c r="B1469" s="6" t="str">
        <f>T("AUTRES")</f>
        <v>AUTRES</v>
      </c>
      <c r="C1469" s="1"/>
      <c r="D1469" s="1"/>
    </row>
    <row r="1470" spans="1:4" x14ac:dyDescent="0.25">
      <c r="B1470" t="str">
        <f>T("   Congo (Brazzaville)")</f>
        <v xml:space="preserve">   Congo (Brazzaville)</v>
      </c>
      <c r="C1470" s="2">
        <v>135</v>
      </c>
      <c r="D1470" s="2">
        <v>2362768</v>
      </c>
    </row>
    <row r="1471" spans="1:4" x14ac:dyDescent="0.25">
      <c r="B1471" t="str">
        <f>T("   Côte d'Ivoire")</f>
        <v xml:space="preserve">   Côte d'Ivoire</v>
      </c>
      <c r="C1471" s="2">
        <v>18292</v>
      </c>
      <c r="D1471" s="2">
        <v>1840000</v>
      </c>
    </row>
    <row r="1472" spans="1:4" x14ac:dyDescent="0.25">
      <c r="B1472" t="str">
        <f>T("   France")</f>
        <v xml:space="preserve">   France</v>
      </c>
      <c r="C1472" s="2">
        <v>44484</v>
      </c>
      <c r="D1472" s="2">
        <v>119734347</v>
      </c>
    </row>
    <row r="1473" spans="1:4" x14ac:dyDescent="0.25">
      <c r="B1473" t="str">
        <f>T("   Gabon")</f>
        <v xml:space="preserve">   Gabon</v>
      </c>
      <c r="C1473" s="2">
        <v>408578</v>
      </c>
      <c r="D1473" s="2">
        <v>1653222842</v>
      </c>
    </row>
    <row r="1474" spans="1:4" x14ac:dyDescent="0.25">
      <c r="B1474" t="str">
        <f>T("   Ghana")</f>
        <v xml:space="preserve">   Ghana</v>
      </c>
      <c r="C1474" s="2">
        <v>34629</v>
      </c>
      <c r="D1474" s="2">
        <v>351194619</v>
      </c>
    </row>
    <row r="1475" spans="1:4" x14ac:dyDescent="0.25">
      <c r="B1475" t="str">
        <f>T("   Nigéria")</f>
        <v xml:space="preserve">   Nigéria</v>
      </c>
      <c r="C1475" s="2">
        <v>3257</v>
      </c>
      <c r="D1475" s="2">
        <v>45272961</v>
      </c>
    </row>
    <row r="1476" spans="1:4" x14ac:dyDescent="0.25">
      <c r="B1476" t="str">
        <f>T("   Pays-bas")</f>
        <v xml:space="preserve">   Pays-bas</v>
      </c>
      <c r="C1476" s="2">
        <v>296</v>
      </c>
      <c r="D1476" s="2">
        <v>1248482</v>
      </c>
    </row>
    <row r="1477" spans="1:4" x14ac:dyDescent="0.25">
      <c r="B1477" t="str">
        <f>T("   Etats-Unis")</f>
        <v xml:space="preserve">   Etats-Unis</v>
      </c>
      <c r="C1477" s="2">
        <v>2</v>
      </c>
      <c r="D1477" s="2">
        <v>183242</v>
      </c>
    </row>
    <row r="1478" spans="1:4" s="6" customFormat="1" x14ac:dyDescent="0.25">
      <c r="B1478" s="6" t="str">
        <f>T("   Total Monde")</f>
        <v xml:space="preserve">   Total Monde</v>
      </c>
      <c r="C1478" s="1">
        <v>509673</v>
      </c>
      <c r="D1478" s="1">
        <v>2175059261</v>
      </c>
    </row>
    <row r="1479" spans="1:4" s="6" customFormat="1" x14ac:dyDescent="0.25">
      <c r="A1479" s="6" t="str">
        <f>T("741819")</f>
        <v>741819</v>
      </c>
      <c r="B1479" s="6" t="str">
        <f>T("AUTRES ARTICLES DE MENAGE OU D'ECONOMIE MIXTE EN CUIVRE")</f>
        <v>AUTRES ARTICLES DE MENAGE OU D'ECONOMIE MIXTE EN CUIVRE</v>
      </c>
      <c r="C1479" s="1"/>
      <c r="D1479" s="1"/>
    </row>
    <row r="1480" spans="1:4" x14ac:dyDescent="0.25">
      <c r="B1480" t="str">
        <f>T("   Gabon")</f>
        <v xml:space="preserve">   Gabon</v>
      </c>
      <c r="C1480" s="2">
        <v>550</v>
      </c>
      <c r="D1480" s="2">
        <v>505440</v>
      </c>
    </row>
    <row r="1481" spans="1:4" s="6" customFormat="1" x14ac:dyDescent="0.25">
      <c r="B1481" s="6" t="str">
        <f>T("   Total Monde")</f>
        <v xml:space="preserve">   Total Monde</v>
      </c>
      <c r="C1481" s="1">
        <v>550</v>
      </c>
      <c r="D1481" s="1">
        <v>505440</v>
      </c>
    </row>
    <row r="1482" spans="1:4" s="6" customFormat="1" x14ac:dyDescent="0.25">
      <c r="A1482" s="6" t="str">
        <f>T("750890")</f>
        <v>750890</v>
      </c>
      <c r="B1482" s="6" t="str">
        <f>T("AUTRES")</f>
        <v>AUTRES</v>
      </c>
      <c r="C1482" s="1"/>
      <c r="D1482" s="1"/>
    </row>
    <row r="1483" spans="1:4" x14ac:dyDescent="0.25">
      <c r="B1483" t="str">
        <f>T("   Gabon")</f>
        <v xml:space="preserve">   Gabon</v>
      </c>
      <c r="C1483" s="2">
        <v>14750</v>
      </c>
      <c r="D1483" s="2">
        <v>1645979947</v>
      </c>
    </row>
    <row r="1484" spans="1:4" x14ac:dyDescent="0.25">
      <c r="B1484" t="str">
        <f>T("   Ghana")</f>
        <v xml:space="preserve">   Ghana</v>
      </c>
      <c r="C1484" s="2">
        <v>13000</v>
      </c>
      <c r="D1484" s="2">
        <v>550964743</v>
      </c>
    </row>
    <row r="1485" spans="1:4" s="6" customFormat="1" x14ac:dyDescent="0.25">
      <c r="B1485" s="6" t="str">
        <f>T("   Total Monde")</f>
        <v xml:space="preserve">   Total Monde</v>
      </c>
      <c r="C1485" s="1">
        <v>27750</v>
      </c>
      <c r="D1485" s="1">
        <v>2196944690</v>
      </c>
    </row>
    <row r="1486" spans="1:4" s="6" customFormat="1" x14ac:dyDescent="0.25">
      <c r="A1486" s="6" t="str">
        <f>T("760200")</f>
        <v>760200</v>
      </c>
      <c r="B1486" s="6" t="str">
        <f>T("DECHETS ET DEBRIS D'ALUMINIUM.")</f>
        <v>DECHETS ET DEBRIS D'ALUMINIUM.</v>
      </c>
      <c r="C1486" s="1"/>
      <c r="D1486" s="1"/>
    </row>
    <row r="1487" spans="1:4" x14ac:dyDescent="0.25">
      <c r="B1487" t="str">
        <f>T("   Emirats Arabes Unis")</f>
        <v xml:space="preserve">   Emirats Arabes Unis</v>
      </c>
      <c r="C1487" s="2">
        <v>50000</v>
      </c>
      <c r="D1487" s="2">
        <v>2500000</v>
      </c>
    </row>
    <row r="1488" spans="1:4" x14ac:dyDescent="0.25">
      <c r="B1488" t="str">
        <f>T("   Chine")</f>
        <v xml:space="preserve">   Chine</v>
      </c>
      <c r="C1488" s="2">
        <v>60000</v>
      </c>
      <c r="D1488" s="2">
        <v>3000000</v>
      </c>
    </row>
    <row r="1489" spans="1:4" x14ac:dyDescent="0.25">
      <c r="B1489" t="str">
        <f>T("   Inde")</f>
        <v xml:space="preserve">   Inde</v>
      </c>
      <c r="C1489" s="2">
        <v>1780000</v>
      </c>
      <c r="D1489" s="2">
        <v>89450000</v>
      </c>
    </row>
    <row r="1490" spans="1:4" x14ac:dyDescent="0.25">
      <c r="B1490" t="str">
        <f>T("   Italie")</f>
        <v xml:space="preserve">   Italie</v>
      </c>
      <c r="C1490" s="2">
        <v>10000</v>
      </c>
      <c r="D1490" s="2">
        <v>500000</v>
      </c>
    </row>
    <row r="1491" spans="1:4" x14ac:dyDescent="0.25">
      <c r="B1491" t="str">
        <f>T("   Corée, République de")</f>
        <v xml:space="preserve">   Corée, République de</v>
      </c>
      <c r="C1491" s="2">
        <v>390000</v>
      </c>
      <c r="D1491" s="2">
        <v>19500000</v>
      </c>
    </row>
    <row r="1492" spans="1:4" s="6" customFormat="1" x14ac:dyDescent="0.25">
      <c r="B1492" s="6" t="str">
        <f>T("   Total Monde")</f>
        <v xml:space="preserve">   Total Monde</v>
      </c>
      <c r="C1492" s="1">
        <v>2290000</v>
      </c>
      <c r="D1492" s="1">
        <v>114950000</v>
      </c>
    </row>
    <row r="1493" spans="1:4" s="6" customFormat="1" x14ac:dyDescent="0.25">
      <c r="A1493" s="6" t="str">
        <f>T("760410")</f>
        <v>760410</v>
      </c>
      <c r="B1493" s="6" t="str">
        <f>T("EN ALUMINIUM NON ALLIE")</f>
        <v>EN ALUMINIUM NON ALLIE</v>
      </c>
      <c r="C1493" s="1"/>
      <c r="D1493" s="1"/>
    </row>
    <row r="1494" spans="1:4" x14ac:dyDescent="0.25">
      <c r="B1494" t="str">
        <f>T("   Gabon")</f>
        <v xml:space="preserve">   Gabon</v>
      </c>
      <c r="C1494" s="2">
        <v>2100</v>
      </c>
      <c r="D1494" s="2">
        <v>135000</v>
      </c>
    </row>
    <row r="1495" spans="1:4" s="6" customFormat="1" x14ac:dyDescent="0.25">
      <c r="B1495" s="6" t="str">
        <f>T("   Total Monde")</f>
        <v xml:space="preserve">   Total Monde</v>
      </c>
      <c r="C1495" s="1">
        <v>2100</v>
      </c>
      <c r="D1495" s="1">
        <v>135000</v>
      </c>
    </row>
    <row r="1496" spans="1:4" s="6" customFormat="1" x14ac:dyDescent="0.25">
      <c r="A1496" s="6" t="str">
        <f>T("760429")</f>
        <v>760429</v>
      </c>
      <c r="B1496" s="6" t="str">
        <f>T("AUTRES")</f>
        <v>AUTRES</v>
      </c>
      <c r="C1496" s="1"/>
      <c r="D1496" s="1"/>
    </row>
    <row r="1497" spans="1:4" x14ac:dyDescent="0.25">
      <c r="B1497" t="str">
        <f>T("   Gabon")</f>
        <v xml:space="preserve">   Gabon</v>
      </c>
      <c r="C1497" s="2">
        <v>2800</v>
      </c>
      <c r="D1497" s="2">
        <v>5200000</v>
      </c>
    </row>
    <row r="1498" spans="1:4" x14ac:dyDescent="0.25">
      <c r="B1498" t="str">
        <f>T("   Guinée Equatoriale")</f>
        <v xml:space="preserve">   Guinée Equatoriale</v>
      </c>
      <c r="C1498" s="2">
        <v>200</v>
      </c>
      <c r="D1498" s="2">
        <v>500000</v>
      </c>
    </row>
    <row r="1499" spans="1:4" s="6" customFormat="1" x14ac:dyDescent="0.25">
      <c r="B1499" s="6" t="str">
        <f>T("   Total Monde")</f>
        <v xml:space="preserve">   Total Monde</v>
      </c>
      <c r="C1499" s="1">
        <v>3000</v>
      </c>
      <c r="D1499" s="1">
        <v>5700000</v>
      </c>
    </row>
    <row r="1500" spans="1:4" s="6" customFormat="1" x14ac:dyDescent="0.25">
      <c r="A1500" s="6" t="str">
        <f>T("761010")</f>
        <v>761010</v>
      </c>
      <c r="B1500" s="6" t="str">
        <f>T("PORTES, FENETRES ET LEURS CADRES, CHAMBRANLES ET SEUILS")</f>
        <v>PORTES, FENETRES ET LEURS CADRES, CHAMBRANLES ET SEUILS</v>
      </c>
      <c r="C1500" s="1"/>
      <c r="D1500" s="1"/>
    </row>
    <row r="1501" spans="1:4" x14ac:dyDescent="0.25">
      <c r="B1501" t="str">
        <f>T("   Togo")</f>
        <v xml:space="preserve">   Togo</v>
      </c>
      <c r="C1501" s="2">
        <v>1500</v>
      </c>
      <c r="D1501" s="2">
        <v>825000</v>
      </c>
    </row>
    <row r="1502" spans="1:4" s="6" customFormat="1" x14ac:dyDescent="0.25">
      <c r="B1502" s="6" t="str">
        <f>T("   Total Monde")</f>
        <v xml:space="preserve">   Total Monde</v>
      </c>
      <c r="C1502" s="1">
        <v>1500</v>
      </c>
      <c r="D1502" s="1">
        <v>825000</v>
      </c>
    </row>
    <row r="1503" spans="1:4" s="6" customFormat="1" x14ac:dyDescent="0.25">
      <c r="A1503" s="6" t="str">
        <f>T("761090")</f>
        <v>761090</v>
      </c>
      <c r="B1503" s="6" t="str">
        <f>T("AUTRES")</f>
        <v>AUTRES</v>
      </c>
      <c r="C1503" s="1"/>
      <c r="D1503" s="1"/>
    </row>
    <row r="1504" spans="1:4" x14ac:dyDescent="0.25">
      <c r="B1504" t="str">
        <f>T("   Niger")</f>
        <v xml:space="preserve">   Niger</v>
      </c>
      <c r="C1504" s="2">
        <v>800</v>
      </c>
      <c r="D1504" s="2">
        <v>357000</v>
      </c>
    </row>
    <row r="1505" spans="1:4" x14ac:dyDescent="0.25">
      <c r="B1505" t="str">
        <f>T("   Tchad")</f>
        <v xml:space="preserve">   Tchad</v>
      </c>
      <c r="C1505" s="2">
        <v>56134</v>
      </c>
      <c r="D1505" s="2">
        <v>16651634</v>
      </c>
    </row>
    <row r="1506" spans="1:4" s="6" customFormat="1" x14ac:dyDescent="0.25">
      <c r="B1506" s="6" t="str">
        <f>T("   Total Monde")</f>
        <v xml:space="preserve">   Total Monde</v>
      </c>
      <c r="C1506" s="1">
        <v>56934</v>
      </c>
      <c r="D1506" s="1">
        <v>17008634</v>
      </c>
    </row>
    <row r="1507" spans="1:4" s="6" customFormat="1" x14ac:dyDescent="0.25">
      <c r="A1507" s="6" t="str">
        <f>T("761490")</f>
        <v>761490</v>
      </c>
      <c r="B1507" s="6" t="str">
        <f>T("AUTRES")</f>
        <v>AUTRES</v>
      </c>
      <c r="C1507" s="1"/>
      <c r="D1507" s="1"/>
    </row>
    <row r="1508" spans="1:4" x14ac:dyDescent="0.25">
      <c r="B1508" t="str">
        <f>T("   Gabon")</f>
        <v xml:space="preserve">   Gabon</v>
      </c>
      <c r="C1508" s="2">
        <v>1977</v>
      </c>
      <c r="D1508" s="2">
        <v>11169687</v>
      </c>
    </row>
    <row r="1509" spans="1:4" x14ac:dyDescent="0.25">
      <c r="B1509" t="str">
        <f>T("   Royaume-Uni")</f>
        <v xml:space="preserve">   Royaume-Uni</v>
      </c>
      <c r="C1509" s="2">
        <v>364</v>
      </c>
      <c r="D1509" s="2">
        <v>23743223</v>
      </c>
    </row>
    <row r="1510" spans="1:4" s="6" customFormat="1" x14ac:dyDescent="0.25">
      <c r="B1510" s="6" t="str">
        <f>T("   Total Monde")</f>
        <v xml:space="preserve">   Total Monde</v>
      </c>
      <c r="C1510" s="1">
        <v>2341</v>
      </c>
      <c r="D1510" s="1">
        <v>34912910</v>
      </c>
    </row>
    <row r="1511" spans="1:4" s="6" customFormat="1" x14ac:dyDescent="0.25">
      <c r="A1511" s="6" t="str">
        <f>T("761699")</f>
        <v>761699</v>
      </c>
      <c r="B1511" s="6" t="str">
        <f>T("AUTRES")</f>
        <v>AUTRES</v>
      </c>
      <c r="C1511" s="1"/>
      <c r="D1511" s="1"/>
    </row>
    <row r="1512" spans="1:4" x14ac:dyDescent="0.25">
      <c r="B1512" t="str">
        <f>T("   France")</f>
        <v xml:space="preserve">   France</v>
      </c>
      <c r="C1512" s="2">
        <v>4</v>
      </c>
      <c r="D1512" s="2">
        <v>36681</v>
      </c>
    </row>
    <row r="1513" spans="1:4" x14ac:dyDescent="0.25">
      <c r="B1513" t="str">
        <f>T("   Gabon")</f>
        <v xml:space="preserve">   Gabon</v>
      </c>
      <c r="C1513" s="2">
        <v>10</v>
      </c>
      <c r="D1513" s="2">
        <v>288780</v>
      </c>
    </row>
    <row r="1514" spans="1:4" s="6" customFormat="1" x14ac:dyDescent="0.25">
      <c r="B1514" s="6" t="str">
        <f>T("   Total Monde")</f>
        <v xml:space="preserve">   Total Monde</v>
      </c>
      <c r="C1514" s="1">
        <v>14</v>
      </c>
      <c r="D1514" s="1">
        <v>325461</v>
      </c>
    </row>
    <row r="1515" spans="1:4" s="6" customFormat="1" x14ac:dyDescent="0.25">
      <c r="A1515" s="6" t="str">
        <f>T("811229")</f>
        <v>811229</v>
      </c>
      <c r="B1515" s="6" t="str">
        <f>T("AUTRES")</f>
        <v>AUTRES</v>
      </c>
      <c r="C1515" s="1"/>
      <c r="D1515" s="1"/>
    </row>
    <row r="1516" spans="1:4" x14ac:dyDescent="0.25">
      <c r="B1516" t="str">
        <f>T("   Gabon")</f>
        <v xml:space="preserve">   Gabon</v>
      </c>
      <c r="C1516" s="2">
        <v>610</v>
      </c>
      <c r="D1516" s="2">
        <v>2489480</v>
      </c>
    </row>
    <row r="1517" spans="1:4" s="6" customFormat="1" x14ac:dyDescent="0.25">
      <c r="B1517" s="6" t="str">
        <f>T("   Total Monde")</f>
        <v xml:space="preserve">   Total Monde</v>
      </c>
      <c r="C1517" s="1">
        <v>610</v>
      </c>
      <c r="D1517" s="1">
        <v>2489480</v>
      </c>
    </row>
    <row r="1518" spans="1:4" s="6" customFormat="1" x14ac:dyDescent="0.25">
      <c r="A1518" s="6" t="str">
        <f>T("820411")</f>
        <v>820411</v>
      </c>
      <c r="B1518" s="6" t="str">
        <f>T("A OUVERTURE FIXE")</f>
        <v>A OUVERTURE FIXE</v>
      </c>
      <c r="C1518" s="1"/>
      <c r="D1518" s="1"/>
    </row>
    <row r="1519" spans="1:4" x14ac:dyDescent="0.25">
      <c r="B1519" t="str">
        <f>T("   Pays-bas")</f>
        <v xml:space="preserve">   Pays-bas</v>
      </c>
      <c r="C1519" s="2">
        <v>4452</v>
      </c>
      <c r="D1519" s="2">
        <v>31688591</v>
      </c>
    </row>
    <row r="1520" spans="1:4" x14ac:dyDescent="0.25">
      <c r="B1520" t="str">
        <f>T("   Etats-Unis")</f>
        <v xml:space="preserve">   Etats-Unis</v>
      </c>
      <c r="C1520" s="2">
        <v>23410</v>
      </c>
      <c r="D1520" s="2">
        <v>198650048</v>
      </c>
    </row>
    <row r="1521" spans="1:4" s="6" customFormat="1" x14ac:dyDescent="0.25">
      <c r="B1521" s="6" t="str">
        <f>T("   Total Monde")</f>
        <v xml:space="preserve">   Total Monde</v>
      </c>
      <c r="C1521" s="1">
        <v>27862</v>
      </c>
      <c r="D1521" s="1">
        <v>230338639</v>
      </c>
    </row>
    <row r="1522" spans="1:4" s="6" customFormat="1" x14ac:dyDescent="0.25">
      <c r="A1522" s="6" t="str">
        <f>T("820520")</f>
        <v>820520</v>
      </c>
      <c r="B1522" s="6" t="str">
        <f>T("MARTEAUX ET MASSES")</f>
        <v>MARTEAUX ET MASSES</v>
      </c>
      <c r="C1522" s="1"/>
      <c r="D1522" s="1"/>
    </row>
    <row r="1523" spans="1:4" x14ac:dyDescent="0.25">
      <c r="B1523" t="str">
        <f>T("   Togo")</f>
        <v xml:space="preserve">   Togo</v>
      </c>
      <c r="C1523" s="2">
        <v>90</v>
      </c>
      <c r="D1523" s="2">
        <v>89621</v>
      </c>
    </row>
    <row r="1524" spans="1:4" s="6" customFormat="1" x14ac:dyDescent="0.25">
      <c r="B1524" s="6" t="str">
        <f>T("   Total Monde")</f>
        <v xml:space="preserve">   Total Monde</v>
      </c>
      <c r="C1524" s="1">
        <v>90</v>
      </c>
      <c r="D1524" s="1">
        <v>89621</v>
      </c>
    </row>
    <row r="1525" spans="1:4" s="6" customFormat="1" x14ac:dyDescent="0.25">
      <c r="A1525" s="6" t="str">
        <f>T("820559")</f>
        <v>820559</v>
      </c>
      <c r="B1525" s="6" t="str">
        <f>T("AUTRES")</f>
        <v>AUTRES</v>
      </c>
      <c r="C1525" s="1"/>
      <c r="D1525" s="1"/>
    </row>
    <row r="1526" spans="1:4" x14ac:dyDescent="0.25">
      <c r="B1526" t="str">
        <f>T("   Autriche")</f>
        <v xml:space="preserve">   Autriche</v>
      </c>
      <c r="C1526" s="2">
        <v>520</v>
      </c>
      <c r="D1526" s="2">
        <v>499390</v>
      </c>
    </row>
    <row r="1527" spans="1:4" x14ac:dyDescent="0.25">
      <c r="B1527" t="str">
        <f>T("   Canada")</f>
        <v xml:space="preserve">   Canada</v>
      </c>
      <c r="C1527" s="2">
        <v>69.42</v>
      </c>
      <c r="D1527" s="2">
        <v>24350057</v>
      </c>
    </row>
    <row r="1528" spans="1:4" x14ac:dyDescent="0.25">
      <c r="B1528" t="str">
        <f>T("   Congo (Brazzaville)")</f>
        <v xml:space="preserve">   Congo (Brazzaville)</v>
      </c>
      <c r="C1528" s="2">
        <v>66</v>
      </c>
      <c r="D1528" s="2">
        <v>1157769</v>
      </c>
    </row>
    <row r="1529" spans="1:4" x14ac:dyDescent="0.25">
      <c r="B1529" t="str">
        <f>T("   Gabon")</f>
        <v xml:space="preserve">   Gabon</v>
      </c>
      <c r="C1529" s="2">
        <v>419.22</v>
      </c>
      <c r="D1529" s="2">
        <v>85719116</v>
      </c>
    </row>
    <row r="1530" spans="1:4" x14ac:dyDescent="0.25">
      <c r="B1530" t="str">
        <f>T("   Royaume-Uni")</f>
        <v xml:space="preserve">   Royaume-Uni</v>
      </c>
      <c r="C1530" s="2">
        <v>200</v>
      </c>
      <c r="D1530" s="2">
        <v>94357764</v>
      </c>
    </row>
    <row r="1531" spans="1:4" x14ac:dyDescent="0.25">
      <c r="B1531" t="str">
        <f>T("   Ghana")</f>
        <v xml:space="preserve">   Ghana</v>
      </c>
      <c r="C1531" s="2">
        <v>680</v>
      </c>
      <c r="D1531" s="2">
        <v>157763327</v>
      </c>
    </row>
    <row r="1532" spans="1:4" x14ac:dyDescent="0.25">
      <c r="B1532" t="str">
        <f>T("   Pays-bas")</f>
        <v xml:space="preserve">   Pays-bas</v>
      </c>
      <c r="C1532" s="2">
        <v>2233</v>
      </c>
      <c r="D1532" s="2">
        <v>9431019</v>
      </c>
    </row>
    <row r="1533" spans="1:4" x14ac:dyDescent="0.25">
      <c r="B1533" t="str">
        <f>T("   Turquie")</f>
        <v xml:space="preserve">   Turquie</v>
      </c>
      <c r="C1533" s="2">
        <v>2528</v>
      </c>
      <c r="D1533" s="2">
        <v>38851522</v>
      </c>
    </row>
    <row r="1534" spans="1:4" s="6" customFormat="1" x14ac:dyDescent="0.25">
      <c r="B1534" s="6" t="str">
        <f>T("   Total Monde")</f>
        <v xml:space="preserve">   Total Monde</v>
      </c>
      <c r="C1534" s="1">
        <v>6715.64</v>
      </c>
      <c r="D1534" s="1">
        <v>412129964</v>
      </c>
    </row>
    <row r="1535" spans="1:4" s="6" customFormat="1" x14ac:dyDescent="0.25">
      <c r="A1535" s="6" t="str">
        <f>T("820580")</f>
        <v>820580</v>
      </c>
      <c r="B1535" s="6" t="str">
        <f>T("ENCLUMES, FORGES PORTATIVES, MEULES AVEC BATIS, A MAIN OU A PEDALE")</f>
        <v>ENCLUMES, FORGES PORTATIVES, MEULES AVEC BATIS, A MAIN OU A PEDALE</v>
      </c>
      <c r="C1535" s="1"/>
      <c r="D1535" s="1"/>
    </row>
    <row r="1536" spans="1:4" x14ac:dyDescent="0.25">
      <c r="B1536" t="str">
        <f>T("   Côte d'Ivoire")</f>
        <v xml:space="preserve">   Côte d'Ivoire</v>
      </c>
      <c r="C1536" s="2">
        <v>7741</v>
      </c>
      <c r="D1536" s="2">
        <v>37068357</v>
      </c>
    </row>
    <row r="1537" spans="1:4" s="6" customFormat="1" x14ac:dyDescent="0.25">
      <c r="B1537" s="6" t="str">
        <f>T("   Total Monde")</f>
        <v xml:space="preserve">   Total Monde</v>
      </c>
      <c r="C1537" s="1">
        <v>7741</v>
      </c>
      <c r="D1537" s="1">
        <v>37068357</v>
      </c>
    </row>
    <row r="1538" spans="1:4" s="6" customFormat="1" x14ac:dyDescent="0.25">
      <c r="A1538" s="6" t="str">
        <f>T("820590")</f>
        <v>820590</v>
      </c>
      <c r="B1538" s="6" t="str">
        <f>T("AUTRES, Y COMPRIS LES ASSORTIMENTS D'ARTICLES D'AU MOINS DEUX DES SOUSPOSITIONS DE L")</f>
        <v>AUTRES, Y COMPRIS LES ASSORTIMENTS D'ARTICLES D'AU MOINS DEUX DES SOUSPOSITIONS DE L</v>
      </c>
      <c r="C1538" s="1"/>
      <c r="D1538" s="1"/>
    </row>
    <row r="1539" spans="1:4" x14ac:dyDescent="0.25">
      <c r="B1539" t="str">
        <f>T("   France")</f>
        <v xml:space="preserve">   France</v>
      </c>
      <c r="C1539" s="2">
        <v>20</v>
      </c>
      <c r="D1539" s="2">
        <v>1292040</v>
      </c>
    </row>
    <row r="1540" spans="1:4" x14ac:dyDescent="0.25">
      <c r="B1540" t="str">
        <f>T("   Gabon")</f>
        <v xml:space="preserve">   Gabon</v>
      </c>
      <c r="C1540" s="2">
        <v>6</v>
      </c>
      <c r="D1540" s="2">
        <v>330718</v>
      </c>
    </row>
    <row r="1541" spans="1:4" s="6" customFormat="1" x14ac:dyDescent="0.25">
      <c r="B1541" s="6" t="str">
        <f>T("   Total Monde")</f>
        <v xml:space="preserve">   Total Monde</v>
      </c>
      <c r="C1541" s="1">
        <v>26</v>
      </c>
      <c r="D1541" s="1">
        <v>1622758</v>
      </c>
    </row>
    <row r="1542" spans="1:4" s="6" customFormat="1" x14ac:dyDescent="0.25">
      <c r="A1542" s="6" t="str">
        <f>T("820719")</f>
        <v>820719</v>
      </c>
      <c r="B1542" s="6" t="str">
        <f>T("AUTRES, Y COMPRIS LES PARTIES")</f>
        <v>AUTRES, Y COMPRIS LES PARTIES</v>
      </c>
      <c r="C1542" s="1"/>
      <c r="D1542" s="1"/>
    </row>
    <row r="1543" spans="1:4" x14ac:dyDescent="0.25">
      <c r="B1543" t="str">
        <f>T("   Canada")</f>
        <v xml:space="preserve">   Canada</v>
      </c>
      <c r="C1543" s="2">
        <v>70</v>
      </c>
      <c r="D1543" s="2">
        <v>18439837</v>
      </c>
    </row>
    <row r="1544" spans="1:4" x14ac:dyDescent="0.25">
      <c r="B1544" t="str">
        <f>T("   Gabon")</f>
        <v xml:space="preserve">   Gabon</v>
      </c>
      <c r="C1544" s="2">
        <v>710</v>
      </c>
      <c r="D1544" s="2">
        <v>15033970</v>
      </c>
    </row>
    <row r="1545" spans="1:4" x14ac:dyDescent="0.25">
      <c r="B1545" t="str">
        <f>T("   Royaume-Uni")</f>
        <v xml:space="preserve">   Royaume-Uni</v>
      </c>
      <c r="C1545" s="2">
        <v>6</v>
      </c>
      <c r="D1545" s="2">
        <v>4779802</v>
      </c>
    </row>
    <row r="1546" spans="1:4" x14ac:dyDescent="0.25">
      <c r="B1546" t="str">
        <f>T("   Ghana")</f>
        <v xml:space="preserve">   Ghana</v>
      </c>
      <c r="C1546" s="2">
        <v>2517</v>
      </c>
      <c r="D1546" s="2">
        <v>113121508</v>
      </c>
    </row>
    <row r="1547" spans="1:4" x14ac:dyDescent="0.25">
      <c r="B1547" t="str">
        <f>T("   Pays-bas")</f>
        <v xml:space="preserve">   Pays-bas</v>
      </c>
      <c r="C1547" s="2">
        <v>1720</v>
      </c>
      <c r="D1547" s="2">
        <v>5591404</v>
      </c>
    </row>
    <row r="1548" spans="1:4" x14ac:dyDescent="0.25">
      <c r="B1548" t="str">
        <f>T("   Etats-Unis")</f>
        <v xml:space="preserve">   Etats-Unis</v>
      </c>
      <c r="C1548" s="2">
        <v>2072.5</v>
      </c>
      <c r="D1548" s="2">
        <v>204128302</v>
      </c>
    </row>
    <row r="1549" spans="1:4" s="6" customFormat="1" x14ac:dyDescent="0.25">
      <c r="B1549" s="6" t="str">
        <f>T("   Total Monde")</f>
        <v xml:space="preserve">   Total Monde</v>
      </c>
      <c r="C1549" s="1">
        <v>7095.5</v>
      </c>
      <c r="D1549" s="1">
        <v>361094823</v>
      </c>
    </row>
    <row r="1550" spans="1:4" s="6" customFormat="1" x14ac:dyDescent="0.25">
      <c r="A1550" s="6" t="str">
        <f>T("820750")</f>
        <v>820750</v>
      </c>
      <c r="B1550" s="6" t="str">
        <f>T("OUTILS A PERCER")</f>
        <v>OUTILS A PERCER</v>
      </c>
      <c r="C1550" s="1"/>
      <c r="D1550" s="1"/>
    </row>
    <row r="1551" spans="1:4" x14ac:dyDescent="0.25">
      <c r="B1551" t="str">
        <f>T("   Gabon")</f>
        <v xml:space="preserve">   Gabon</v>
      </c>
      <c r="C1551" s="2">
        <v>54699</v>
      </c>
      <c r="D1551" s="2">
        <v>539163114</v>
      </c>
    </row>
    <row r="1552" spans="1:4" x14ac:dyDescent="0.25">
      <c r="B1552" t="str">
        <f>T("   Ghana")</f>
        <v xml:space="preserve">   Ghana</v>
      </c>
      <c r="C1552" s="2">
        <v>12694</v>
      </c>
      <c r="D1552" s="2">
        <v>160933928</v>
      </c>
    </row>
    <row r="1553" spans="1:4" x14ac:dyDescent="0.25">
      <c r="B1553" t="str">
        <f>T("   Ukraine")</f>
        <v xml:space="preserve">   Ukraine</v>
      </c>
      <c r="C1553" s="2">
        <v>8551</v>
      </c>
      <c r="D1553" s="2">
        <v>28138095</v>
      </c>
    </row>
    <row r="1554" spans="1:4" s="6" customFormat="1" x14ac:dyDescent="0.25">
      <c r="B1554" s="6" t="str">
        <f>T("   Total Monde")</f>
        <v xml:space="preserve">   Total Monde</v>
      </c>
      <c r="C1554" s="1">
        <v>75944</v>
      </c>
      <c r="D1554" s="1">
        <v>728235137</v>
      </c>
    </row>
    <row r="1555" spans="1:4" s="6" customFormat="1" x14ac:dyDescent="0.25">
      <c r="A1555" s="6" t="str">
        <f>T("820760")</f>
        <v>820760</v>
      </c>
      <c r="B1555" s="6" t="str">
        <f>T("OUTILS A ALESER OU A BROCHER")</f>
        <v>OUTILS A ALESER OU A BROCHER</v>
      </c>
      <c r="C1555" s="1"/>
      <c r="D1555" s="1"/>
    </row>
    <row r="1556" spans="1:4" x14ac:dyDescent="0.25">
      <c r="B1556" t="str">
        <f>T("   Sénégal")</f>
        <v xml:space="preserve">   Sénégal</v>
      </c>
      <c r="C1556" s="2">
        <v>280</v>
      </c>
      <c r="D1556" s="2">
        <v>6051231</v>
      </c>
    </row>
    <row r="1557" spans="1:4" x14ac:dyDescent="0.25">
      <c r="B1557" t="str">
        <f>T("   Afrique du Sud")</f>
        <v xml:space="preserve">   Afrique du Sud</v>
      </c>
      <c r="C1557" s="2">
        <v>42</v>
      </c>
      <c r="D1557" s="2">
        <v>7560551</v>
      </c>
    </row>
    <row r="1558" spans="1:4" s="6" customFormat="1" x14ac:dyDescent="0.25">
      <c r="B1558" s="6" t="str">
        <f>T("   Total Monde")</f>
        <v xml:space="preserve">   Total Monde</v>
      </c>
      <c r="C1558" s="1">
        <v>322</v>
      </c>
      <c r="D1558" s="1">
        <v>13611782</v>
      </c>
    </row>
    <row r="1559" spans="1:4" s="6" customFormat="1" x14ac:dyDescent="0.25">
      <c r="A1559" s="6" t="str">
        <f>T("820790")</f>
        <v>820790</v>
      </c>
      <c r="B1559" s="6" t="str">
        <f>T("AUTRES OUTILS INTERCHANGEABLES")</f>
        <v>AUTRES OUTILS INTERCHANGEABLES</v>
      </c>
      <c r="C1559" s="1"/>
      <c r="D1559" s="1"/>
    </row>
    <row r="1560" spans="1:4" x14ac:dyDescent="0.25">
      <c r="B1560" t="str">
        <f>T("   Egypte")</f>
        <v xml:space="preserve">   Egypte</v>
      </c>
      <c r="C1560" s="2">
        <v>104000</v>
      </c>
      <c r="D1560" s="2">
        <v>48549500</v>
      </c>
    </row>
    <row r="1561" spans="1:4" x14ac:dyDescent="0.25">
      <c r="B1561" t="str">
        <f>T("   France")</f>
        <v xml:space="preserve">   France</v>
      </c>
      <c r="C1561" s="2">
        <v>1</v>
      </c>
      <c r="D1561" s="2">
        <v>65596</v>
      </c>
    </row>
    <row r="1562" spans="1:4" x14ac:dyDescent="0.25">
      <c r="B1562" t="str">
        <f>T("   Pays-bas")</f>
        <v xml:space="preserve">   Pays-bas</v>
      </c>
      <c r="C1562" s="2">
        <v>16600</v>
      </c>
      <c r="D1562" s="2">
        <v>88544248</v>
      </c>
    </row>
    <row r="1563" spans="1:4" s="6" customFormat="1" x14ac:dyDescent="0.25">
      <c r="B1563" s="6" t="str">
        <f>T("   Total Monde")</f>
        <v xml:space="preserve">   Total Monde</v>
      </c>
      <c r="C1563" s="1">
        <v>120601</v>
      </c>
      <c r="D1563" s="1">
        <v>137159344</v>
      </c>
    </row>
    <row r="1564" spans="1:4" s="6" customFormat="1" x14ac:dyDescent="0.25">
      <c r="A1564" s="6" t="str">
        <f>T("830241")</f>
        <v>830241</v>
      </c>
      <c r="B1564" s="6" t="str">
        <f>T("POUR BATIMENTS")</f>
        <v>POUR BATIMENTS</v>
      </c>
      <c r="C1564" s="1"/>
      <c r="D1564" s="1"/>
    </row>
    <row r="1565" spans="1:4" x14ac:dyDescent="0.25">
      <c r="B1565" t="str">
        <f>T("   Gabon")</f>
        <v xml:space="preserve">   Gabon</v>
      </c>
      <c r="C1565" s="2">
        <v>94</v>
      </c>
      <c r="D1565" s="2">
        <v>1206919</v>
      </c>
    </row>
    <row r="1566" spans="1:4" x14ac:dyDescent="0.25">
      <c r="B1566" t="str">
        <f>T("   Tchad")</f>
        <v xml:space="preserve">   Tchad</v>
      </c>
      <c r="C1566" s="2">
        <v>71225</v>
      </c>
      <c r="D1566" s="2">
        <v>22501414</v>
      </c>
    </row>
    <row r="1567" spans="1:4" s="6" customFormat="1" x14ac:dyDescent="0.25">
      <c r="B1567" s="6" t="str">
        <f>T("   Total Monde")</f>
        <v xml:space="preserve">   Total Monde</v>
      </c>
      <c r="C1567" s="1">
        <v>71319</v>
      </c>
      <c r="D1567" s="1">
        <v>23708333</v>
      </c>
    </row>
    <row r="1568" spans="1:4" s="6" customFormat="1" x14ac:dyDescent="0.25">
      <c r="A1568" s="6" t="str">
        <f>T("830400")</f>
        <v>830400</v>
      </c>
      <c r="B1568" s="6" t="str">
        <f>T("CLASSEURS, FICHIERS, BOITES DE CLASSEMENT, PORTECOPIES, PLUMIERS, PORTECACHETS ET MAT")</f>
        <v>CLASSEURS, FICHIERS, BOITES DE CLASSEMENT, PORTECOPIES, PLUMIERS, PORTECACHETS ET MAT</v>
      </c>
      <c r="C1568" s="1"/>
      <c r="D1568" s="1"/>
    </row>
    <row r="1569" spans="1:4" x14ac:dyDescent="0.25">
      <c r="B1569" t="str">
        <f>T("   Côte d'Ivoire")</f>
        <v xml:space="preserve">   Côte d'Ivoire</v>
      </c>
      <c r="C1569" s="2">
        <v>1560</v>
      </c>
      <c r="D1569" s="2">
        <v>7472025</v>
      </c>
    </row>
    <row r="1570" spans="1:4" x14ac:dyDescent="0.25">
      <c r="B1570" t="str">
        <f>T("   Ghana")</f>
        <v xml:space="preserve">   Ghana</v>
      </c>
      <c r="C1570" s="2">
        <v>534</v>
      </c>
      <c r="D1570" s="2">
        <v>3680945</v>
      </c>
    </row>
    <row r="1571" spans="1:4" x14ac:dyDescent="0.25">
      <c r="B1571" t="str">
        <f>T("   Pays-bas")</f>
        <v xml:space="preserve">   Pays-bas</v>
      </c>
      <c r="C1571" s="2">
        <v>336</v>
      </c>
      <c r="D1571" s="2">
        <v>1421659</v>
      </c>
    </row>
    <row r="1572" spans="1:4" s="6" customFormat="1" x14ac:dyDescent="0.25">
      <c r="B1572" s="6" t="str">
        <f>T("   Total Monde")</f>
        <v xml:space="preserve">   Total Monde</v>
      </c>
      <c r="C1572" s="1">
        <v>2430</v>
      </c>
      <c r="D1572" s="1">
        <v>12574629</v>
      </c>
    </row>
    <row r="1573" spans="1:4" s="6" customFormat="1" x14ac:dyDescent="0.25">
      <c r="A1573" s="6" t="str">
        <f>T("830790")</f>
        <v>830790</v>
      </c>
      <c r="B1573" s="6" t="str">
        <f>T("EN AUTRES METAUX COMMUNS")</f>
        <v>EN AUTRES METAUX COMMUNS</v>
      </c>
      <c r="C1573" s="1"/>
      <c r="D1573" s="1"/>
    </row>
    <row r="1574" spans="1:4" x14ac:dyDescent="0.25">
      <c r="B1574" t="str">
        <f>T("   Gabon")</f>
        <v xml:space="preserve">   Gabon</v>
      </c>
      <c r="C1574" s="2">
        <v>70</v>
      </c>
      <c r="D1574" s="2">
        <v>2567812</v>
      </c>
    </row>
    <row r="1575" spans="1:4" s="6" customFormat="1" x14ac:dyDescent="0.25">
      <c r="B1575" s="6" t="str">
        <f>T("   Total Monde")</f>
        <v xml:space="preserve">   Total Monde</v>
      </c>
      <c r="C1575" s="1">
        <v>70</v>
      </c>
      <c r="D1575" s="1">
        <v>2567812</v>
      </c>
    </row>
    <row r="1576" spans="1:4" s="6" customFormat="1" x14ac:dyDescent="0.25">
      <c r="A1576" s="6" t="str">
        <f>T("840110")</f>
        <v>840110</v>
      </c>
      <c r="B1576" s="6" t="str">
        <f>T("REACTEURS NUCLEAIRES")</f>
        <v>REACTEURS NUCLEAIRES</v>
      </c>
      <c r="C1576" s="1"/>
      <c r="D1576" s="1"/>
    </row>
    <row r="1577" spans="1:4" x14ac:dyDescent="0.25">
      <c r="B1577" t="str">
        <f>T("   Etats-Unis")</f>
        <v xml:space="preserve">   Etats-Unis</v>
      </c>
      <c r="C1577" s="2">
        <v>6800</v>
      </c>
      <c r="D1577" s="2">
        <v>1394109</v>
      </c>
    </row>
    <row r="1578" spans="1:4" s="6" customFormat="1" x14ac:dyDescent="0.25">
      <c r="B1578" s="6" t="str">
        <f>T("   Total Monde")</f>
        <v xml:space="preserve">   Total Monde</v>
      </c>
      <c r="C1578" s="1">
        <v>6800</v>
      </c>
      <c r="D1578" s="1">
        <v>1394109</v>
      </c>
    </row>
    <row r="1579" spans="1:4" s="6" customFormat="1" x14ac:dyDescent="0.25">
      <c r="A1579" s="6" t="str">
        <f>T("840790")</f>
        <v>840790</v>
      </c>
      <c r="B1579" s="6" t="str">
        <f>T("AUTRES MOTEURS")</f>
        <v>AUTRES MOTEURS</v>
      </c>
      <c r="C1579" s="1"/>
      <c r="D1579" s="1"/>
    </row>
    <row r="1580" spans="1:4" x14ac:dyDescent="0.25">
      <c r="B1580" t="str">
        <f>T("   Congo (Brazzaville)")</f>
        <v xml:space="preserve">   Congo (Brazzaville)</v>
      </c>
      <c r="C1580" s="2">
        <v>200</v>
      </c>
      <c r="D1580" s="2">
        <v>200000</v>
      </c>
    </row>
    <row r="1581" spans="1:4" x14ac:dyDescent="0.25">
      <c r="B1581" t="str">
        <f>T("   Gabon")</f>
        <v xml:space="preserve">   Gabon</v>
      </c>
      <c r="C1581" s="2">
        <v>17675</v>
      </c>
      <c r="D1581" s="2">
        <v>54592962</v>
      </c>
    </row>
    <row r="1582" spans="1:4" s="6" customFormat="1" x14ac:dyDescent="0.25">
      <c r="B1582" s="6" t="str">
        <f>T("   Total Monde")</f>
        <v xml:space="preserve">   Total Monde</v>
      </c>
      <c r="C1582" s="1">
        <v>17875</v>
      </c>
      <c r="D1582" s="1">
        <v>54792962</v>
      </c>
    </row>
    <row r="1583" spans="1:4" s="6" customFormat="1" x14ac:dyDescent="0.25">
      <c r="A1583" s="6" t="str">
        <f>T("840820")</f>
        <v>840820</v>
      </c>
      <c r="B1583" s="6" t="str">
        <f>T("MOTEURS DES TYPES UTILISES POUR LA PROPULSION DE VEHICULES DU CHAPITRE 87")</f>
        <v>MOTEURS DES TYPES UTILISES POUR LA PROPULSION DE VEHICULES DU CHAPITRE 87</v>
      </c>
      <c r="C1583" s="1"/>
      <c r="D1583" s="1"/>
    </row>
    <row r="1584" spans="1:4" x14ac:dyDescent="0.25">
      <c r="B1584" t="str">
        <f>T("   Guinée Equatoriale")</f>
        <v xml:space="preserve">   Guinée Equatoriale</v>
      </c>
      <c r="C1584" s="2">
        <v>13100</v>
      </c>
      <c r="D1584" s="2">
        <v>1910000</v>
      </c>
    </row>
    <row r="1585" spans="1:4" s="6" customFormat="1" x14ac:dyDescent="0.25">
      <c r="B1585" s="6" t="str">
        <f>T("   Total Monde")</f>
        <v xml:space="preserve">   Total Monde</v>
      </c>
      <c r="C1585" s="1">
        <v>13100</v>
      </c>
      <c r="D1585" s="1">
        <v>1910000</v>
      </c>
    </row>
    <row r="1586" spans="1:4" s="6" customFormat="1" x14ac:dyDescent="0.25">
      <c r="A1586" s="6" t="str">
        <f>T("840890")</f>
        <v>840890</v>
      </c>
      <c r="B1586" s="6" t="str">
        <f>T("AUTRES MOTEURS")</f>
        <v>AUTRES MOTEURS</v>
      </c>
      <c r="C1586" s="1"/>
      <c r="D1586" s="1"/>
    </row>
    <row r="1587" spans="1:4" x14ac:dyDescent="0.25">
      <c r="B1587" t="str">
        <f>T("   Gabon")</f>
        <v xml:space="preserve">   Gabon</v>
      </c>
      <c r="C1587" s="2">
        <v>2500</v>
      </c>
      <c r="D1587" s="2">
        <v>1050000</v>
      </c>
    </row>
    <row r="1588" spans="1:4" s="6" customFormat="1" x14ac:dyDescent="0.25">
      <c r="B1588" s="6" t="str">
        <f>T("   Total Monde")</f>
        <v xml:space="preserve">   Total Monde</v>
      </c>
      <c r="C1588" s="1">
        <v>2500</v>
      </c>
      <c r="D1588" s="1">
        <v>1050000</v>
      </c>
    </row>
    <row r="1589" spans="1:4" s="6" customFormat="1" x14ac:dyDescent="0.25">
      <c r="A1589" s="6" t="str">
        <f>T("840999")</f>
        <v>840999</v>
      </c>
      <c r="B1589" s="6" t="str">
        <f>T("AUTRES")</f>
        <v>AUTRES</v>
      </c>
      <c r="C1589" s="1"/>
      <c r="D1589" s="1"/>
    </row>
    <row r="1590" spans="1:4" x14ac:dyDescent="0.25">
      <c r="B1590" t="str">
        <f>T("   Danemark")</f>
        <v xml:space="preserve">   Danemark</v>
      </c>
      <c r="C1590" s="2">
        <v>17</v>
      </c>
      <c r="D1590" s="2">
        <v>1980093</v>
      </c>
    </row>
    <row r="1591" spans="1:4" x14ac:dyDescent="0.25">
      <c r="B1591" t="str">
        <f>T("   France")</f>
        <v xml:space="preserve">   France</v>
      </c>
      <c r="C1591" s="2">
        <v>138.30000000000001</v>
      </c>
      <c r="D1591" s="2">
        <v>918340</v>
      </c>
    </row>
    <row r="1592" spans="1:4" x14ac:dyDescent="0.25">
      <c r="B1592" t="str">
        <f>T("   Corée, République de")</f>
        <v xml:space="preserve">   Corée, République de</v>
      </c>
      <c r="C1592" s="2">
        <v>80</v>
      </c>
      <c r="D1592" s="2">
        <v>448106</v>
      </c>
    </row>
    <row r="1593" spans="1:4" s="6" customFormat="1" x14ac:dyDescent="0.25">
      <c r="B1593" s="6" t="str">
        <f>T("   Total Monde")</f>
        <v xml:space="preserve">   Total Monde</v>
      </c>
      <c r="C1593" s="1">
        <v>235.3</v>
      </c>
      <c r="D1593" s="1">
        <v>3346539</v>
      </c>
    </row>
    <row r="1594" spans="1:4" s="6" customFormat="1" x14ac:dyDescent="0.25">
      <c r="A1594" s="6" t="str">
        <f>T("841210")</f>
        <v>841210</v>
      </c>
      <c r="B1594" s="6" t="str">
        <f>T("Propulseurs a reaction autres que les turboreacteurs")</f>
        <v>Propulseurs a reaction autres que les turboreacteurs</v>
      </c>
      <c r="C1594" s="1"/>
      <c r="D1594" s="1"/>
    </row>
    <row r="1595" spans="1:4" x14ac:dyDescent="0.25">
      <c r="B1595" t="str">
        <f>T("   Côte d'Ivoire")</f>
        <v xml:space="preserve">   Côte d'Ivoire</v>
      </c>
      <c r="C1595" s="2">
        <v>3682</v>
      </c>
      <c r="D1595" s="2">
        <v>17629790</v>
      </c>
    </row>
    <row r="1596" spans="1:4" s="6" customFormat="1" x14ac:dyDescent="0.25">
      <c r="B1596" s="6" t="str">
        <f>T("   Total Monde")</f>
        <v xml:space="preserve">   Total Monde</v>
      </c>
      <c r="C1596" s="1">
        <v>3682</v>
      </c>
      <c r="D1596" s="1">
        <v>17629790</v>
      </c>
    </row>
    <row r="1597" spans="1:4" s="6" customFormat="1" x14ac:dyDescent="0.25">
      <c r="A1597" s="6" t="str">
        <f>T("841221")</f>
        <v>841221</v>
      </c>
      <c r="B1597" s="6" t="str">
        <f>T("A MOUVEMENT RECTILIGNE (CYLINDRES)")</f>
        <v>A MOUVEMENT RECTILIGNE (CYLINDRES)</v>
      </c>
      <c r="C1597" s="1"/>
      <c r="D1597" s="1"/>
    </row>
    <row r="1598" spans="1:4" x14ac:dyDescent="0.25">
      <c r="B1598" t="str">
        <f>T("   Gabon")</f>
        <v xml:space="preserve">   Gabon</v>
      </c>
      <c r="C1598" s="2">
        <v>2910</v>
      </c>
      <c r="D1598" s="2">
        <v>24902507</v>
      </c>
    </row>
    <row r="1599" spans="1:4" s="6" customFormat="1" x14ac:dyDescent="0.25">
      <c r="B1599" s="6" t="str">
        <f>T("   Total Monde")</f>
        <v xml:space="preserve">   Total Monde</v>
      </c>
      <c r="C1599" s="1">
        <v>2910</v>
      </c>
      <c r="D1599" s="1">
        <v>24902507</v>
      </c>
    </row>
    <row r="1600" spans="1:4" s="6" customFormat="1" x14ac:dyDescent="0.25">
      <c r="A1600" s="6" t="str">
        <f>T("841229")</f>
        <v>841229</v>
      </c>
      <c r="B1600" s="6" t="str">
        <f>T("AUTRES")</f>
        <v>AUTRES</v>
      </c>
      <c r="C1600" s="1"/>
      <c r="D1600" s="1"/>
    </row>
    <row r="1601" spans="1:4" x14ac:dyDescent="0.25">
      <c r="B1601" t="str">
        <f>T("   Côte d'Ivoire")</f>
        <v xml:space="preserve">   Côte d'Ivoire</v>
      </c>
      <c r="C1601" s="2">
        <v>500</v>
      </c>
      <c r="D1601" s="2">
        <v>400000</v>
      </c>
    </row>
    <row r="1602" spans="1:4" x14ac:dyDescent="0.25">
      <c r="B1602" t="str">
        <f>T("   Nigéria")</f>
        <v xml:space="preserve">   Nigéria</v>
      </c>
      <c r="C1602" s="2">
        <v>3181</v>
      </c>
      <c r="D1602" s="2">
        <v>8962128</v>
      </c>
    </row>
    <row r="1603" spans="1:4" s="6" customFormat="1" x14ac:dyDescent="0.25">
      <c r="B1603" s="6" t="str">
        <f>T("   Total Monde")</f>
        <v xml:space="preserve">   Total Monde</v>
      </c>
      <c r="C1603" s="1">
        <v>3681</v>
      </c>
      <c r="D1603" s="1">
        <v>9362128</v>
      </c>
    </row>
    <row r="1604" spans="1:4" s="6" customFormat="1" x14ac:dyDescent="0.25">
      <c r="A1604" s="6" t="str">
        <f>T("841231")</f>
        <v>841231</v>
      </c>
      <c r="B1604" s="6" t="str">
        <f>T("A MOUVEMENT RECTILIGNE (CYLINDRES)")</f>
        <v>A MOUVEMENT RECTILIGNE (CYLINDRES)</v>
      </c>
      <c r="C1604" s="1"/>
      <c r="D1604" s="1"/>
    </row>
    <row r="1605" spans="1:4" x14ac:dyDescent="0.25">
      <c r="B1605" t="str">
        <f>T("   Etats-Unis")</f>
        <v xml:space="preserve">   Etats-Unis</v>
      </c>
      <c r="C1605" s="2">
        <v>19</v>
      </c>
      <c r="D1605" s="2">
        <v>164306</v>
      </c>
    </row>
    <row r="1606" spans="1:4" s="6" customFormat="1" x14ac:dyDescent="0.25">
      <c r="B1606" s="6" t="str">
        <f>T("   Total Monde")</f>
        <v xml:space="preserve">   Total Monde</v>
      </c>
      <c r="C1606" s="1">
        <v>19</v>
      </c>
      <c r="D1606" s="1">
        <v>164306</v>
      </c>
    </row>
    <row r="1607" spans="1:4" s="6" customFormat="1" x14ac:dyDescent="0.25">
      <c r="A1607" s="6" t="str">
        <f>T("841311")</f>
        <v>841311</v>
      </c>
      <c r="B1607" s="6" t="str">
        <f>T("POMPES POUR LA DISTRIBUTION DE CARBURANTS OU DE LUBRIFIANTS, DES TYPES UTILISES DANS")</f>
        <v>POMPES POUR LA DISTRIBUTION DE CARBURANTS OU DE LUBRIFIANTS, DES TYPES UTILISES DANS</v>
      </c>
      <c r="C1607" s="1"/>
      <c r="D1607" s="1"/>
    </row>
    <row r="1608" spans="1:4" x14ac:dyDescent="0.25">
      <c r="B1608" t="str">
        <f>T("   Canada")</f>
        <v xml:space="preserve">   Canada</v>
      </c>
      <c r="C1608" s="2">
        <v>209</v>
      </c>
      <c r="D1608" s="2">
        <v>4448066</v>
      </c>
    </row>
    <row r="1609" spans="1:4" s="6" customFormat="1" x14ac:dyDescent="0.25">
      <c r="B1609" s="6" t="str">
        <f>T("   Total Monde")</f>
        <v xml:space="preserve">   Total Monde</v>
      </c>
      <c r="C1609" s="1">
        <v>209</v>
      </c>
      <c r="D1609" s="1">
        <v>4448066</v>
      </c>
    </row>
    <row r="1610" spans="1:4" s="6" customFormat="1" x14ac:dyDescent="0.25">
      <c r="A1610" s="6" t="str">
        <f>T("841319")</f>
        <v>841319</v>
      </c>
      <c r="B1610" s="6" t="str">
        <f>T("AUTRES")</f>
        <v>AUTRES</v>
      </c>
      <c r="C1610" s="1"/>
      <c r="D1610" s="1"/>
    </row>
    <row r="1611" spans="1:4" x14ac:dyDescent="0.25">
      <c r="B1611" t="str">
        <f>T("   Norvège")</f>
        <v xml:space="preserve">   Norvège</v>
      </c>
      <c r="C1611" s="2">
        <v>1.7</v>
      </c>
      <c r="D1611" s="2">
        <v>1167910</v>
      </c>
    </row>
    <row r="1612" spans="1:4" s="6" customFormat="1" x14ac:dyDescent="0.25">
      <c r="B1612" s="6" t="str">
        <f>T("   Total Monde")</f>
        <v xml:space="preserve">   Total Monde</v>
      </c>
      <c r="C1612" s="1">
        <v>1.7</v>
      </c>
      <c r="D1612" s="1">
        <v>1167910</v>
      </c>
    </row>
    <row r="1613" spans="1:4" s="6" customFormat="1" x14ac:dyDescent="0.25">
      <c r="A1613" s="6" t="str">
        <f>T("841330")</f>
        <v>841330</v>
      </c>
      <c r="B1613" s="6" t="str">
        <f>T("POMPES A CARBURANT, A HUILE OU A LIQUIDE DE REFROIDISSEMENT POUR MOTEURS A ALLUMAGE P")</f>
        <v>POMPES A CARBURANT, A HUILE OU A LIQUIDE DE REFROIDISSEMENT POUR MOTEURS A ALLUMAGE P</v>
      </c>
      <c r="C1613" s="1"/>
      <c r="D1613" s="1"/>
    </row>
    <row r="1614" spans="1:4" x14ac:dyDescent="0.25">
      <c r="B1614" t="str">
        <f>T("   Pays-bas")</f>
        <v xml:space="preserve">   Pays-bas</v>
      </c>
      <c r="C1614" s="2">
        <v>110</v>
      </c>
      <c r="D1614" s="2">
        <v>231076594</v>
      </c>
    </row>
    <row r="1615" spans="1:4" x14ac:dyDescent="0.25">
      <c r="B1615" t="str">
        <f>T("   Norvège")</f>
        <v xml:space="preserve">   Norvège</v>
      </c>
      <c r="C1615" s="2">
        <v>8</v>
      </c>
      <c r="D1615" s="2">
        <v>12633030</v>
      </c>
    </row>
    <row r="1616" spans="1:4" s="6" customFormat="1" x14ac:dyDescent="0.25">
      <c r="B1616" s="6" t="str">
        <f>T("   Total Monde")</f>
        <v xml:space="preserve">   Total Monde</v>
      </c>
      <c r="C1616" s="1">
        <v>118</v>
      </c>
      <c r="D1616" s="1">
        <v>243709624</v>
      </c>
    </row>
    <row r="1617" spans="1:4" s="6" customFormat="1" x14ac:dyDescent="0.25">
      <c r="A1617" s="6" t="str">
        <f>T("841350")</f>
        <v>841350</v>
      </c>
      <c r="B1617" s="6" t="str">
        <f>T("Autres pompes volumetriques alternatives")</f>
        <v>Autres pompes volumetriques alternatives</v>
      </c>
      <c r="C1617" s="1"/>
      <c r="D1617" s="1"/>
    </row>
    <row r="1618" spans="1:4" x14ac:dyDescent="0.25">
      <c r="B1618" t="str">
        <f>T("   Gabon")</f>
        <v xml:space="preserve">   Gabon</v>
      </c>
      <c r="C1618" s="2">
        <v>2516.63</v>
      </c>
      <c r="D1618" s="2">
        <v>40912633</v>
      </c>
    </row>
    <row r="1619" spans="1:4" s="6" customFormat="1" x14ac:dyDescent="0.25">
      <c r="B1619" s="6" t="str">
        <f>T("   Total Monde")</f>
        <v xml:space="preserve">   Total Monde</v>
      </c>
      <c r="C1619" s="1">
        <v>2516.63</v>
      </c>
      <c r="D1619" s="1">
        <v>40912633</v>
      </c>
    </row>
    <row r="1620" spans="1:4" s="6" customFormat="1" x14ac:dyDescent="0.25">
      <c r="A1620" s="6" t="str">
        <f>T("841360")</f>
        <v>841360</v>
      </c>
      <c r="B1620" s="6" t="str">
        <f>T("Autres pompes volumetriques rotatives")</f>
        <v>Autres pompes volumetriques rotatives</v>
      </c>
      <c r="C1620" s="1"/>
      <c r="D1620" s="1"/>
    </row>
    <row r="1621" spans="1:4" x14ac:dyDescent="0.25">
      <c r="B1621" t="str">
        <f>T("   Gabon")</f>
        <v xml:space="preserve">   Gabon</v>
      </c>
      <c r="C1621" s="2">
        <v>398</v>
      </c>
      <c r="D1621" s="2">
        <v>10270668</v>
      </c>
    </row>
    <row r="1622" spans="1:4" x14ac:dyDescent="0.25">
      <c r="B1622" t="str">
        <f>T("   Norvège")</f>
        <v xml:space="preserve">   Norvège</v>
      </c>
      <c r="C1622" s="2">
        <v>344</v>
      </c>
      <c r="D1622" s="2">
        <v>3826698</v>
      </c>
    </row>
    <row r="1623" spans="1:4" x14ac:dyDescent="0.25">
      <c r="B1623" t="str">
        <f>T("   Etats-Unis")</f>
        <v xml:space="preserve">   Etats-Unis</v>
      </c>
      <c r="C1623" s="2">
        <v>162</v>
      </c>
      <c r="D1623" s="2">
        <v>1373695</v>
      </c>
    </row>
    <row r="1624" spans="1:4" s="6" customFormat="1" x14ac:dyDescent="0.25">
      <c r="B1624" s="6" t="str">
        <f>T("   Total Monde")</f>
        <v xml:space="preserve">   Total Monde</v>
      </c>
      <c r="C1624" s="1">
        <v>904</v>
      </c>
      <c r="D1624" s="1">
        <v>15471061</v>
      </c>
    </row>
    <row r="1625" spans="1:4" s="6" customFormat="1" x14ac:dyDescent="0.25">
      <c r="A1625" s="6" t="str">
        <f>T("841370")</f>
        <v>841370</v>
      </c>
      <c r="B1625" s="6" t="str">
        <f>T("Autres pompes centrifuges")</f>
        <v>Autres pompes centrifuges</v>
      </c>
      <c r="C1625" s="1"/>
      <c r="D1625" s="1"/>
    </row>
    <row r="1626" spans="1:4" x14ac:dyDescent="0.25">
      <c r="B1626" t="str">
        <f>T("   Royaume-Uni")</f>
        <v xml:space="preserve">   Royaume-Uni</v>
      </c>
      <c r="C1626" s="2">
        <v>4400</v>
      </c>
      <c r="D1626" s="2">
        <v>59980968</v>
      </c>
    </row>
    <row r="1627" spans="1:4" x14ac:dyDescent="0.25">
      <c r="B1627" t="str">
        <f>T("   Togo")</f>
        <v xml:space="preserve">   Togo</v>
      </c>
      <c r="C1627" s="2">
        <v>650</v>
      </c>
      <c r="D1627" s="2">
        <v>8114882</v>
      </c>
    </row>
    <row r="1628" spans="1:4" s="6" customFormat="1" x14ac:dyDescent="0.25">
      <c r="B1628" s="6" t="str">
        <f>T("   Total Monde")</f>
        <v xml:space="preserve">   Total Monde</v>
      </c>
      <c r="C1628" s="1">
        <v>5050</v>
      </c>
      <c r="D1628" s="1">
        <v>68095850</v>
      </c>
    </row>
    <row r="1629" spans="1:4" s="6" customFormat="1" x14ac:dyDescent="0.25">
      <c r="A1629" s="6" t="str">
        <f>T("841381")</f>
        <v>841381</v>
      </c>
      <c r="B1629" s="6" t="str">
        <f>T("POMPES")</f>
        <v>POMPES</v>
      </c>
      <c r="C1629" s="1"/>
      <c r="D1629" s="1"/>
    </row>
    <row r="1630" spans="1:4" x14ac:dyDescent="0.25">
      <c r="B1630" t="str">
        <f>T("   Colombie")</f>
        <v xml:space="preserve">   Colombie</v>
      </c>
      <c r="C1630" s="2">
        <v>551</v>
      </c>
      <c r="D1630" s="2">
        <v>5528914</v>
      </c>
    </row>
    <row r="1631" spans="1:4" x14ac:dyDescent="0.25">
      <c r="B1631" t="str">
        <f>T("   Gabon")</f>
        <v xml:space="preserve">   Gabon</v>
      </c>
      <c r="C1631" s="2">
        <v>50731</v>
      </c>
      <c r="D1631" s="2">
        <v>326076164</v>
      </c>
    </row>
    <row r="1632" spans="1:4" x14ac:dyDescent="0.25">
      <c r="B1632" t="str">
        <f>T("   Pays-bas")</f>
        <v xml:space="preserve">   Pays-bas</v>
      </c>
      <c r="C1632" s="2">
        <v>23</v>
      </c>
      <c r="D1632" s="2">
        <v>32565352</v>
      </c>
    </row>
    <row r="1633" spans="1:4" x14ac:dyDescent="0.25">
      <c r="B1633" t="str">
        <f>T("   Togo")</f>
        <v xml:space="preserve">   Togo</v>
      </c>
      <c r="C1633" s="2">
        <v>5193</v>
      </c>
      <c r="D1633" s="2">
        <v>35823843</v>
      </c>
    </row>
    <row r="1634" spans="1:4" s="6" customFormat="1" x14ac:dyDescent="0.25">
      <c r="B1634" s="6" t="str">
        <f>T("   Total Monde")</f>
        <v xml:space="preserve">   Total Monde</v>
      </c>
      <c r="C1634" s="1">
        <v>56498</v>
      </c>
      <c r="D1634" s="1">
        <v>399994273</v>
      </c>
    </row>
    <row r="1635" spans="1:4" s="6" customFormat="1" x14ac:dyDescent="0.25">
      <c r="A1635" s="6" t="str">
        <f>T("841382")</f>
        <v>841382</v>
      </c>
      <c r="B1635" s="6" t="str">
        <f>T("ELEVATEURS A LIQUIDES")</f>
        <v>ELEVATEURS A LIQUIDES</v>
      </c>
      <c r="C1635" s="1"/>
      <c r="D1635" s="1"/>
    </row>
    <row r="1636" spans="1:4" x14ac:dyDescent="0.25">
      <c r="B1636" t="str">
        <f>T("   Togo")</f>
        <v xml:space="preserve">   Togo</v>
      </c>
      <c r="C1636" s="2">
        <v>100</v>
      </c>
      <c r="D1636" s="2">
        <v>1095371</v>
      </c>
    </row>
    <row r="1637" spans="1:4" s="6" customFormat="1" x14ac:dyDescent="0.25">
      <c r="B1637" s="6" t="str">
        <f>T("   Total Monde")</f>
        <v xml:space="preserve">   Total Monde</v>
      </c>
      <c r="C1637" s="1">
        <v>100</v>
      </c>
      <c r="D1637" s="1">
        <v>1095371</v>
      </c>
    </row>
    <row r="1638" spans="1:4" s="6" customFormat="1" x14ac:dyDescent="0.25">
      <c r="A1638" s="6" t="str">
        <f>T("841391")</f>
        <v>841391</v>
      </c>
      <c r="B1638" s="6" t="str">
        <f>T("DE POMPES")</f>
        <v>DE POMPES</v>
      </c>
      <c r="C1638" s="1"/>
      <c r="D1638" s="1"/>
    </row>
    <row r="1639" spans="1:4" x14ac:dyDescent="0.25">
      <c r="B1639" t="str">
        <f>T("   Norvège")</f>
        <v xml:space="preserve">   Norvège</v>
      </c>
      <c r="C1639" s="2">
        <v>2</v>
      </c>
      <c r="D1639" s="2">
        <v>1144269</v>
      </c>
    </row>
    <row r="1640" spans="1:4" s="6" customFormat="1" x14ac:dyDescent="0.25">
      <c r="B1640" s="6" t="str">
        <f>T("   Total Monde")</f>
        <v xml:space="preserve">   Total Monde</v>
      </c>
      <c r="C1640" s="1">
        <v>2</v>
      </c>
      <c r="D1640" s="1">
        <v>1144269</v>
      </c>
    </row>
    <row r="1641" spans="1:4" s="6" customFormat="1" x14ac:dyDescent="0.25">
      <c r="A1641" s="6" t="str">
        <f>T("841420")</f>
        <v>841420</v>
      </c>
      <c r="B1641" s="6" t="str">
        <f>T("POMPES A AIR, A MAIN OU A PIED")</f>
        <v>POMPES A AIR, A MAIN OU A PIED</v>
      </c>
      <c r="C1641" s="1"/>
      <c r="D1641" s="1"/>
    </row>
    <row r="1642" spans="1:4" x14ac:dyDescent="0.25">
      <c r="B1642" t="str">
        <f>T("   Togo")</f>
        <v xml:space="preserve">   Togo</v>
      </c>
      <c r="C1642" s="2">
        <v>100</v>
      </c>
      <c r="D1642" s="2">
        <v>909642</v>
      </c>
    </row>
    <row r="1643" spans="1:4" s="6" customFormat="1" x14ac:dyDescent="0.25">
      <c r="B1643" s="6" t="str">
        <f>T("   Total Monde")</f>
        <v xml:space="preserve">   Total Monde</v>
      </c>
      <c r="C1643" s="1">
        <v>100</v>
      </c>
      <c r="D1643" s="1">
        <v>909642</v>
      </c>
    </row>
    <row r="1644" spans="1:4" s="6" customFormat="1" x14ac:dyDescent="0.25">
      <c r="A1644" s="6" t="str">
        <f>T("841430")</f>
        <v>841430</v>
      </c>
      <c r="B1644" s="6" t="str">
        <f>T("COMPRESSEURS DES TYPES UTILISES DANS LES EQUIPEMENTS FRIGORIFIQUES")</f>
        <v>COMPRESSEURS DES TYPES UTILISES DANS LES EQUIPEMENTS FRIGORIFIQUES</v>
      </c>
      <c r="C1644" s="1"/>
      <c r="D1644" s="1"/>
    </row>
    <row r="1645" spans="1:4" x14ac:dyDescent="0.25">
      <c r="B1645" t="str">
        <f>T("   Malaisie")</f>
        <v xml:space="preserve">   Malaisie</v>
      </c>
      <c r="C1645" s="2">
        <v>10000</v>
      </c>
      <c r="D1645" s="2">
        <v>6223700</v>
      </c>
    </row>
    <row r="1646" spans="1:4" x14ac:dyDescent="0.25">
      <c r="B1646" t="str">
        <f>T("   Etats-Unis")</f>
        <v xml:space="preserve">   Etats-Unis</v>
      </c>
      <c r="C1646" s="2">
        <v>4760</v>
      </c>
      <c r="D1646" s="2">
        <v>121194359</v>
      </c>
    </row>
    <row r="1647" spans="1:4" s="6" customFormat="1" x14ac:dyDescent="0.25">
      <c r="B1647" s="6" t="str">
        <f>T("   Total Monde")</f>
        <v xml:space="preserve">   Total Monde</v>
      </c>
      <c r="C1647" s="1">
        <v>14760</v>
      </c>
      <c r="D1647" s="1">
        <v>127418059</v>
      </c>
    </row>
    <row r="1648" spans="1:4" s="6" customFormat="1" x14ac:dyDescent="0.25">
      <c r="A1648" s="6" t="str">
        <f>T("841440")</f>
        <v>841440</v>
      </c>
      <c r="B1648" s="6" t="str">
        <f>T("COMPRESSEURS D'AIR MONTES SUR CHASSIS A ROUES ET REMORQUABLES")</f>
        <v>COMPRESSEURS D'AIR MONTES SUR CHASSIS A ROUES ET REMORQUABLES</v>
      </c>
      <c r="C1648" s="1"/>
      <c r="D1648" s="1"/>
    </row>
    <row r="1649" spans="1:4" x14ac:dyDescent="0.25">
      <c r="B1649" t="str">
        <f>T("   Togo")</f>
        <v xml:space="preserve">   Togo</v>
      </c>
      <c r="C1649" s="2">
        <v>21520</v>
      </c>
      <c r="D1649" s="2">
        <v>38588415</v>
      </c>
    </row>
    <row r="1650" spans="1:4" x14ac:dyDescent="0.25">
      <c r="B1650" t="str">
        <f>T("   Etats-Unis")</f>
        <v xml:space="preserve">   Etats-Unis</v>
      </c>
      <c r="C1650" s="2">
        <v>437</v>
      </c>
      <c r="D1650" s="2">
        <v>4481064</v>
      </c>
    </row>
    <row r="1651" spans="1:4" s="6" customFormat="1" x14ac:dyDescent="0.25">
      <c r="B1651" s="6" t="str">
        <f>T("   Total Monde")</f>
        <v xml:space="preserve">   Total Monde</v>
      </c>
      <c r="C1651" s="1">
        <v>21957</v>
      </c>
      <c r="D1651" s="1">
        <v>43069479</v>
      </c>
    </row>
    <row r="1652" spans="1:4" s="6" customFormat="1" x14ac:dyDescent="0.25">
      <c r="A1652" s="6" t="str">
        <f>T("841459")</f>
        <v>841459</v>
      </c>
      <c r="B1652" s="6" t="str">
        <f>T("AUTRES")</f>
        <v>AUTRES</v>
      </c>
      <c r="C1652" s="1"/>
      <c r="D1652" s="1"/>
    </row>
    <row r="1653" spans="1:4" x14ac:dyDescent="0.25">
      <c r="B1653" t="str">
        <f>T("   France")</f>
        <v xml:space="preserve">   France</v>
      </c>
      <c r="C1653" s="2">
        <v>72</v>
      </c>
      <c r="D1653" s="2">
        <v>1046912</v>
      </c>
    </row>
    <row r="1654" spans="1:4" x14ac:dyDescent="0.25">
      <c r="B1654" t="str">
        <f>T("   Ghana")</f>
        <v xml:space="preserve">   Ghana</v>
      </c>
      <c r="C1654" s="2">
        <v>3240</v>
      </c>
      <c r="D1654" s="2">
        <v>2389858</v>
      </c>
    </row>
    <row r="1655" spans="1:4" x14ac:dyDescent="0.25">
      <c r="B1655" t="str">
        <f>T("   Togo")</f>
        <v xml:space="preserve">   Togo</v>
      </c>
      <c r="C1655" s="2">
        <v>350</v>
      </c>
      <c r="D1655" s="2">
        <v>350000</v>
      </c>
    </row>
    <row r="1656" spans="1:4" s="6" customFormat="1" x14ac:dyDescent="0.25">
      <c r="B1656" s="6" t="str">
        <f>T("   Total Monde")</f>
        <v xml:space="preserve">   Total Monde</v>
      </c>
      <c r="C1656" s="1">
        <v>3662</v>
      </c>
      <c r="D1656" s="1">
        <v>3786770</v>
      </c>
    </row>
    <row r="1657" spans="1:4" s="6" customFormat="1" x14ac:dyDescent="0.25">
      <c r="A1657" s="6" t="str">
        <f>T("841480")</f>
        <v>841480</v>
      </c>
      <c r="B1657" s="6" t="str">
        <f>T("AUTRES")</f>
        <v>AUTRES</v>
      </c>
      <c r="C1657" s="1"/>
      <c r="D1657" s="1"/>
    </row>
    <row r="1658" spans="1:4" x14ac:dyDescent="0.25">
      <c r="B1658" t="str">
        <f>T("   Colombie")</f>
        <v xml:space="preserve">   Colombie</v>
      </c>
      <c r="C1658" s="2">
        <v>1159</v>
      </c>
      <c r="D1658" s="2">
        <v>12111373</v>
      </c>
    </row>
    <row r="1659" spans="1:4" x14ac:dyDescent="0.25">
      <c r="B1659" t="str">
        <f>T("   Royaume-Uni")</f>
        <v xml:space="preserve">   Royaume-Uni</v>
      </c>
      <c r="C1659" s="2">
        <v>10000</v>
      </c>
      <c r="D1659" s="2">
        <v>79896813</v>
      </c>
    </row>
    <row r="1660" spans="1:4" x14ac:dyDescent="0.25">
      <c r="B1660" t="str">
        <f>T("   Togo")</f>
        <v xml:space="preserve">   Togo</v>
      </c>
      <c r="C1660" s="2">
        <v>300</v>
      </c>
      <c r="D1660" s="2">
        <v>507060</v>
      </c>
    </row>
    <row r="1661" spans="1:4" s="6" customFormat="1" x14ac:dyDescent="0.25">
      <c r="B1661" s="6" t="str">
        <f>T("   Total Monde")</f>
        <v xml:space="preserve">   Total Monde</v>
      </c>
      <c r="C1661" s="1">
        <v>11459</v>
      </c>
      <c r="D1661" s="1">
        <v>92515246</v>
      </c>
    </row>
    <row r="1662" spans="1:4" s="6" customFormat="1" x14ac:dyDescent="0.25">
      <c r="A1662" s="6" t="str">
        <f>T("841490")</f>
        <v>841490</v>
      </c>
      <c r="B1662" s="6" t="str">
        <f>T("PARTIES")</f>
        <v>PARTIES</v>
      </c>
      <c r="C1662" s="1"/>
      <c r="D1662" s="1"/>
    </row>
    <row r="1663" spans="1:4" x14ac:dyDescent="0.25">
      <c r="B1663" t="str">
        <f>T("   Suisse")</f>
        <v xml:space="preserve">   Suisse</v>
      </c>
      <c r="C1663" s="2">
        <v>68</v>
      </c>
      <c r="D1663" s="2">
        <v>14735789</v>
      </c>
    </row>
    <row r="1664" spans="1:4" x14ac:dyDescent="0.25">
      <c r="B1664" t="str">
        <f>T("   Côte d'Ivoire")</f>
        <v xml:space="preserve">   Côte d'Ivoire</v>
      </c>
      <c r="C1664" s="2">
        <v>160</v>
      </c>
      <c r="D1664" s="2">
        <v>767631</v>
      </c>
    </row>
    <row r="1665" spans="1:4" x14ac:dyDescent="0.25">
      <c r="B1665" t="str">
        <f>T("   Allemagne")</f>
        <v xml:space="preserve">   Allemagne</v>
      </c>
      <c r="C1665" s="2">
        <v>14.1</v>
      </c>
      <c r="D1665" s="2">
        <v>5247680</v>
      </c>
    </row>
    <row r="1666" spans="1:4" x14ac:dyDescent="0.25">
      <c r="B1666" t="str">
        <f>T("   Nigéria")</f>
        <v xml:space="preserve">   Nigéria</v>
      </c>
      <c r="C1666" s="2">
        <v>34902</v>
      </c>
      <c r="D1666" s="2">
        <v>26388488</v>
      </c>
    </row>
    <row r="1667" spans="1:4" s="6" customFormat="1" x14ac:dyDescent="0.25">
      <c r="B1667" s="6" t="str">
        <f>T("   Total Monde")</f>
        <v xml:space="preserve">   Total Monde</v>
      </c>
      <c r="C1667" s="1">
        <v>35144.1</v>
      </c>
      <c r="D1667" s="1">
        <v>47139588</v>
      </c>
    </row>
    <row r="1668" spans="1:4" s="6" customFormat="1" x14ac:dyDescent="0.25">
      <c r="A1668" s="6" t="str">
        <f>T("841582")</f>
        <v>841582</v>
      </c>
      <c r="B1668" s="6" t="str">
        <f>T("AUTRES, AVEC DISPOSITIF DE REFRIGERATION")</f>
        <v>AUTRES, AVEC DISPOSITIF DE REFRIGERATION</v>
      </c>
      <c r="C1668" s="1"/>
      <c r="D1668" s="1"/>
    </row>
    <row r="1669" spans="1:4" x14ac:dyDescent="0.25">
      <c r="B1669" t="str">
        <f>T("   Canada")</f>
        <v xml:space="preserve">   Canada</v>
      </c>
      <c r="C1669" s="2">
        <v>342</v>
      </c>
      <c r="D1669" s="2">
        <v>7294168</v>
      </c>
    </row>
    <row r="1670" spans="1:4" x14ac:dyDescent="0.25">
      <c r="B1670" t="str">
        <f>T("   Guinée Equatoriale")</f>
        <v xml:space="preserve">   Guinée Equatoriale</v>
      </c>
      <c r="C1670" s="2">
        <v>500</v>
      </c>
      <c r="D1670" s="2">
        <v>200000</v>
      </c>
    </row>
    <row r="1671" spans="1:4" s="6" customFormat="1" x14ac:dyDescent="0.25">
      <c r="B1671" s="6" t="str">
        <f>T("   Total Monde")</f>
        <v xml:space="preserve">   Total Monde</v>
      </c>
      <c r="C1671" s="1">
        <v>842</v>
      </c>
      <c r="D1671" s="1">
        <v>7494168</v>
      </c>
    </row>
    <row r="1672" spans="1:4" s="6" customFormat="1" x14ac:dyDescent="0.25">
      <c r="A1672" s="6" t="str">
        <f>T("841829")</f>
        <v>841829</v>
      </c>
      <c r="B1672" s="6" t="str">
        <f>T("AUTRES")</f>
        <v>AUTRES</v>
      </c>
      <c r="C1672" s="1"/>
      <c r="D1672" s="1"/>
    </row>
    <row r="1673" spans="1:4" x14ac:dyDescent="0.25">
      <c r="B1673" t="str">
        <f>T("   Guinée Equatoriale")</f>
        <v xml:space="preserve">   Guinée Equatoriale</v>
      </c>
      <c r="C1673" s="2">
        <v>13000</v>
      </c>
      <c r="D1673" s="2">
        <v>2000000</v>
      </c>
    </row>
    <row r="1674" spans="1:4" x14ac:dyDescent="0.25">
      <c r="B1674" t="str">
        <f>T("   Libéria")</f>
        <v xml:space="preserve">   Libéria</v>
      </c>
      <c r="C1674" s="2">
        <v>2054</v>
      </c>
      <c r="D1674" s="2">
        <v>3000000</v>
      </c>
    </row>
    <row r="1675" spans="1:4" x14ac:dyDescent="0.25">
      <c r="B1675" t="str">
        <f>T("   Togo")</f>
        <v xml:space="preserve">   Togo</v>
      </c>
      <c r="C1675" s="2">
        <v>21000</v>
      </c>
      <c r="D1675" s="2">
        <v>81547760</v>
      </c>
    </row>
    <row r="1676" spans="1:4" s="6" customFormat="1" x14ac:dyDescent="0.25">
      <c r="B1676" s="6" t="str">
        <f>T("   Total Monde")</f>
        <v xml:space="preserve">   Total Monde</v>
      </c>
      <c r="C1676" s="1">
        <v>36054</v>
      </c>
      <c r="D1676" s="1">
        <v>86547760</v>
      </c>
    </row>
    <row r="1677" spans="1:4" s="6" customFormat="1" x14ac:dyDescent="0.25">
      <c r="A1677" s="6" t="str">
        <f>T("841861")</f>
        <v>841861</v>
      </c>
      <c r="B1677" s="6" t="str">
        <f>T("POMPES A CHALEUR AUTRES QUE LES MACHINES ET APPAREILS POUR LE CONDITIONNEMENT DE L'A")</f>
        <v>POMPES A CHALEUR AUTRES QUE LES MACHINES ET APPAREILS POUR LE CONDITIONNEMENT DE L'A</v>
      </c>
      <c r="C1677" s="1"/>
      <c r="D1677" s="1"/>
    </row>
    <row r="1678" spans="1:4" x14ac:dyDescent="0.25">
      <c r="B1678" t="str">
        <f>T("   Italie")</f>
        <v xml:space="preserve">   Italie</v>
      </c>
      <c r="C1678" s="2">
        <v>2210</v>
      </c>
      <c r="D1678" s="2">
        <v>1311920</v>
      </c>
    </row>
    <row r="1679" spans="1:4" s="6" customFormat="1" x14ac:dyDescent="0.25">
      <c r="B1679" s="6" t="str">
        <f>T("   Total Monde")</f>
        <v xml:space="preserve">   Total Monde</v>
      </c>
      <c r="C1679" s="1">
        <v>2210</v>
      </c>
      <c r="D1679" s="1">
        <v>1311920</v>
      </c>
    </row>
    <row r="1680" spans="1:4" s="6" customFormat="1" x14ac:dyDescent="0.25">
      <c r="A1680" s="6" t="str">
        <f>T("841989")</f>
        <v>841989</v>
      </c>
      <c r="B1680" s="6" t="str">
        <f>T("AUTRES")</f>
        <v>AUTRES</v>
      </c>
      <c r="C1680" s="1"/>
      <c r="D1680" s="1"/>
    </row>
    <row r="1681" spans="1:4" x14ac:dyDescent="0.25">
      <c r="B1681" t="str">
        <f>T("   Gabon")</f>
        <v xml:space="preserve">   Gabon</v>
      </c>
      <c r="C1681" s="2">
        <v>3749</v>
      </c>
      <c r="D1681" s="2">
        <v>125489708</v>
      </c>
    </row>
    <row r="1682" spans="1:4" s="6" customFormat="1" x14ac:dyDescent="0.25">
      <c r="B1682" s="6" t="str">
        <f>T("   Total Monde")</f>
        <v xml:space="preserve">   Total Monde</v>
      </c>
      <c r="C1682" s="1">
        <v>3749</v>
      </c>
      <c r="D1682" s="1">
        <v>125489708</v>
      </c>
    </row>
    <row r="1683" spans="1:4" s="6" customFormat="1" x14ac:dyDescent="0.25">
      <c r="A1683" s="6" t="str">
        <f>T("842119")</f>
        <v>842119</v>
      </c>
      <c r="B1683" s="6" t="str">
        <f>T("AUTRES")</f>
        <v>AUTRES</v>
      </c>
      <c r="C1683" s="1"/>
      <c r="D1683" s="1"/>
    </row>
    <row r="1684" spans="1:4" x14ac:dyDescent="0.25">
      <c r="B1684" t="str">
        <f>T("   Gabon")</f>
        <v xml:space="preserve">   Gabon</v>
      </c>
      <c r="C1684" s="2">
        <v>7362.64</v>
      </c>
      <c r="D1684" s="2">
        <v>54219809</v>
      </c>
    </row>
    <row r="1685" spans="1:4" s="6" customFormat="1" x14ac:dyDescent="0.25">
      <c r="B1685" s="6" t="str">
        <f>T("   Total Monde")</f>
        <v xml:space="preserve">   Total Monde</v>
      </c>
      <c r="C1685" s="1">
        <v>7362.64</v>
      </c>
      <c r="D1685" s="1">
        <v>54219809</v>
      </c>
    </row>
    <row r="1686" spans="1:4" s="6" customFormat="1" x14ac:dyDescent="0.25">
      <c r="A1686" s="6" t="str">
        <f>T("842121")</f>
        <v>842121</v>
      </c>
      <c r="B1686" s="6" t="str">
        <f>T("POUR LA FILTRATION OU L'EPURATION DES EAUX")</f>
        <v>POUR LA FILTRATION OU L'EPURATION DES EAUX</v>
      </c>
      <c r="C1686" s="1"/>
      <c r="D1686" s="1"/>
    </row>
    <row r="1687" spans="1:4" x14ac:dyDescent="0.25">
      <c r="B1687" t="str">
        <f>T("   Emirats Arabes Unis")</f>
        <v xml:space="preserve">   Emirats Arabes Unis</v>
      </c>
      <c r="C1687" s="2">
        <v>8</v>
      </c>
      <c r="D1687" s="2">
        <v>1493688</v>
      </c>
    </row>
    <row r="1688" spans="1:4" x14ac:dyDescent="0.25">
      <c r="B1688" t="str">
        <f>T("   Canada")</f>
        <v xml:space="preserve">   Canada</v>
      </c>
      <c r="C1688" s="2">
        <v>133</v>
      </c>
      <c r="D1688" s="2">
        <v>2825543</v>
      </c>
    </row>
    <row r="1689" spans="1:4" x14ac:dyDescent="0.25">
      <c r="B1689" t="str">
        <f>T("   Gabon")</f>
        <v xml:space="preserve">   Gabon</v>
      </c>
      <c r="C1689" s="2">
        <v>70818</v>
      </c>
      <c r="D1689" s="2">
        <v>369625868</v>
      </c>
    </row>
    <row r="1690" spans="1:4" x14ac:dyDescent="0.25">
      <c r="B1690" t="str">
        <f>T("   Royaume-Uni")</f>
        <v xml:space="preserve">   Royaume-Uni</v>
      </c>
      <c r="C1690" s="2">
        <v>22020</v>
      </c>
      <c r="D1690" s="2">
        <v>105787329</v>
      </c>
    </row>
    <row r="1691" spans="1:4" x14ac:dyDescent="0.25">
      <c r="B1691" t="str">
        <f>T("   Nigéria")</f>
        <v xml:space="preserve">   Nigéria</v>
      </c>
      <c r="C1691" s="2">
        <v>5000</v>
      </c>
      <c r="D1691" s="2">
        <v>11650766</v>
      </c>
    </row>
    <row r="1692" spans="1:4" x14ac:dyDescent="0.25">
      <c r="B1692" t="str">
        <f>T("   Turquie")</f>
        <v xml:space="preserve">   Turquie</v>
      </c>
      <c r="C1692" s="2">
        <v>60835</v>
      </c>
      <c r="D1692" s="2">
        <v>717480487</v>
      </c>
    </row>
    <row r="1693" spans="1:4" s="6" customFormat="1" x14ac:dyDescent="0.25">
      <c r="B1693" s="6" t="str">
        <f>T("   Total Monde")</f>
        <v xml:space="preserve">   Total Monde</v>
      </c>
      <c r="C1693" s="1">
        <v>158814</v>
      </c>
      <c r="D1693" s="1">
        <v>1208863681</v>
      </c>
    </row>
    <row r="1694" spans="1:4" s="6" customFormat="1" x14ac:dyDescent="0.25">
      <c r="A1694" s="6" t="str">
        <f>T("842123")</f>
        <v>842123</v>
      </c>
      <c r="B1694" s="6" t="str">
        <f>T("POUR LA FILTRATION DES HUILES MINERALES DANS LES MOTEURS A ALLUMAGE PAR ETINCELLES O")</f>
        <v>POUR LA FILTRATION DES HUILES MINERALES DANS LES MOTEURS A ALLUMAGE PAR ETINCELLES O</v>
      </c>
      <c r="C1694" s="1"/>
      <c r="D1694" s="1"/>
    </row>
    <row r="1695" spans="1:4" x14ac:dyDescent="0.25">
      <c r="B1695" t="str">
        <f>T("   Congo (Brazzaville)")</f>
        <v xml:space="preserve">   Congo (Brazzaville)</v>
      </c>
      <c r="C1695" s="2">
        <v>142</v>
      </c>
      <c r="D1695" s="2">
        <v>2501832</v>
      </c>
    </row>
    <row r="1696" spans="1:4" x14ac:dyDescent="0.25">
      <c r="B1696" t="str">
        <f>T("   Pays-bas")</f>
        <v xml:space="preserve">   Pays-bas</v>
      </c>
      <c r="C1696" s="2">
        <v>10</v>
      </c>
      <c r="D1696" s="2">
        <v>2828766</v>
      </c>
    </row>
    <row r="1697" spans="1:4" s="6" customFormat="1" x14ac:dyDescent="0.25">
      <c r="B1697" s="6" t="str">
        <f>T("   Total Monde")</f>
        <v xml:space="preserve">   Total Monde</v>
      </c>
      <c r="C1697" s="1">
        <v>152</v>
      </c>
      <c r="D1697" s="1">
        <v>5330598</v>
      </c>
    </row>
    <row r="1698" spans="1:4" s="6" customFormat="1" x14ac:dyDescent="0.25">
      <c r="A1698" s="6" t="str">
        <f>T("842129")</f>
        <v>842129</v>
      </c>
      <c r="B1698" s="6" t="str">
        <f>T("AUTRES")</f>
        <v>AUTRES</v>
      </c>
      <c r="C1698" s="1"/>
      <c r="D1698" s="1"/>
    </row>
    <row r="1699" spans="1:4" x14ac:dyDescent="0.25">
      <c r="B1699" t="str">
        <f>T("   Gabon")</f>
        <v xml:space="preserve">   Gabon</v>
      </c>
      <c r="C1699" s="2">
        <v>235</v>
      </c>
      <c r="D1699" s="2">
        <v>10644448</v>
      </c>
    </row>
    <row r="1700" spans="1:4" s="6" customFormat="1" x14ac:dyDescent="0.25">
      <c r="B1700" s="6" t="str">
        <f>T("   Total Monde")</f>
        <v xml:space="preserve">   Total Monde</v>
      </c>
      <c r="C1700" s="1">
        <v>235</v>
      </c>
      <c r="D1700" s="1">
        <v>10644448</v>
      </c>
    </row>
    <row r="1701" spans="1:4" s="6" customFormat="1" x14ac:dyDescent="0.25">
      <c r="A1701" s="6" t="str">
        <f>T("842131")</f>
        <v>842131</v>
      </c>
      <c r="B1701" s="6" t="str">
        <f>T("FILTRES D'ENTREE D'AIR POUR MOTEURS A ALLUMAGE PAR ETINCELLES OU PAR COMPRESSION")</f>
        <v>FILTRES D'ENTREE D'AIR POUR MOTEURS A ALLUMAGE PAR ETINCELLES OU PAR COMPRESSION</v>
      </c>
      <c r="C1701" s="1"/>
      <c r="D1701" s="1"/>
    </row>
    <row r="1702" spans="1:4" x14ac:dyDescent="0.25">
      <c r="B1702" t="str">
        <f>T("   France")</f>
        <v xml:space="preserve">   France</v>
      </c>
      <c r="C1702" s="2">
        <v>1</v>
      </c>
      <c r="D1702" s="2">
        <v>431412</v>
      </c>
    </row>
    <row r="1703" spans="1:4" x14ac:dyDescent="0.25">
      <c r="B1703" t="str">
        <f>T("   Gabon")</f>
        <v xml:space="preserve">   Gabon</v>
      </c>
      <c r="C1703" s="2">
        <v>42</v>
      </c>
      <c r="D1703" s="2">
        <v>435161</v>
      </c>
    </row>
    <row r="1704" spans="1:4" s="6" customFormat="1" x14ac:dyDescent="0.25">
      <c r="B1704" s="6" t="str">
        <f>T("   Total Monde")</f>
        <v xml:space="preserve">   Total Monde</v>
      </c>
      <c r="C1704" s="1">
        <v>43</v>
      </c>
      <c r="D1704" s="1">
        <v>866573</v>
      </c>
    </row>
    <row r="1705" spans="1:4" s="6" customFormat="1" x14ac:dyDescent="0.25">
      <c r="A1705" s="6" t="str">
        <f>T("842139")</f>
        <v>842139</v>
      </c>
      <c r="B1705" s="6" t="str">
        <f>T("AUTRES")</f>
        <v>AUTRES</v>
      </c>
      <c r="C1705" s="1"/>
      <c r="D1705" s="1"/>
    </row>
    <row r="1706" spans="1:4" x14ac:dyDescent="0.25">
      <c r="B1706" t="str">
        <f>T("   Gabon")</f>
        <v xml:space="preserve">   Gabon</v>
      </c>
      <c r="C1706" s="2">
        <v>243</v>
      </c>
      <c r="D1706" s="2">
        <v>6467672</v>
      </c>
    </row>
    <row r="1707" spans="1:4" x14ac:dyDescent="0.25">
      <c r="B1707" t="str">
        <f>T("   Pays-bas")</f>
        <v xml:space="preserve">   Pays-bas</v>
      </c>
      <c r="C1707" s="2">
        <v>18</v>
      </c>
      <c r="D1707" s="2">
        <v>26158973</v>
      </c>
    </row>
    <row r="1708" spans="1:4" s="6" customFormat="1" x14ac:dyDescent="0.25">
      <c r="B1708" s="6" t="str">
        <f>T("   Total Monde")</f>
        <v xml:space="preserve">   Total Monde</v>
      </c>
      <c r="C1708" s="1">
        <v>261</v>
      </c>
      <c r="D1708" s="1">
        <v>32626645</v>
      </c>
    </row>
    <row r="1709" spans="1:4" s="6" customFormat="1" x14ac:dyDescent="0.25">
      <c r="A1709" s="6" t="str">
        <f>T("842199")</f>
        <v>842199</v>
      </c>
      <c r="B1709" s="6" t="str">
        <f>T("AUTRES")</f>
        <v>AUTRES</v>
      </c>
      <c r="C1709" s="1"/>
      <c r="D1709" s="1"/>
    </row>
    <row r="1710" spans="1:4" x14ac:dyDescent="0.25">
      <c r="B1710" t="str">
        <f>T("   France")</f>
        <v xml:space="preserve">   France</v>
      </c>
      <c r="C1710" s="2">
        <v>50</v>
      </c>
      <c r="D1710" s="2">
        <v>593054</v>
      </c>
    </row>
    <row r="1711" spans="1:4" x14ac:dyDescent="0.25">
      <c r="B1711" t="str">
        <f>T("   Gabon")</f>
        <v xml:space="preserve">   Gabon</v>
      </c>
      <c r="C1711" s="2">
        <v>17</v>
      </c>
      <c r="D1711" s="2">
        <v>976860</v>
      </c>
    </row>
    <row r="1712" spans="1:4" x14ac:dyDescent="0.25">
      <c r="B1712" t="str">
        <f>T("   Pays-bas")</f>
        <v xml:space="preserve">   Pays-bas</v>
      </c>
      <c r="C1712" s="2">
        <v>5837</v>
      </c>
      <c r="D1712" s="2">
        <v>41540458</v>
      </c>
    </row>
    <row r="1713" spans="1:4" s="6" customFormat="1" x14ac:dyDescent="0.25">
      <c r="B1713" s="6" t="str">
        <f>T("   Total Monde")</f>
        <v xml:space="preserve">   Total Monde</v>
      </c>
      <c r="C1713" s="1">
        <v>5904</v>
      </c>
      <c r="D1713" s="1">
        <v>43110372</v>
      </c>
    </row>
    <row r="1714" spans="1:4" s="6" customFormat="1" x14ac:dyDescent="0.25">
      <c r="A1714" s="6" t="str">
        <f>T("842230")</f>
        <v>842230</v>
      </c>
      <c r="B1714" s="6" t="str">
        <f>T("MACHINES ET APPAREILS A REMPLIR, FERMER, BOUCHER OU ETIQUETER LES BOUTEILLES, BOITES,")</f>
        <v>MACHINES ET APPAREILS A REMPLIR, FERMER, BOUCHER OU ETIQUETER LES BOUTEILLES, BOITES,</v>
      </c>
      <c r="C1714" s="1"/>
      <c r="D1714" s="1"/>
    </row>
    <row r="1715" spans="1:4" x14ac:dyDescent="0.25">
      <c r="B1715" t="str">
        <f>T("   Niger")</f>
        <v xml:space="preserve">   Niger</v>
      </c>
      <c r="C1715" s="2">
        <v>16755</v>
      </c>
      <c r="D1715" s="2">
        <v>7000000</v>
      </c>
    </row>
    <row r="1716" spans="1:4" s="6" customFormat="1" x14ac:dyDescent="0.25">
      <c r="B1716" s="6" t="str">
        <f>T("   Total Monde")</f>
        <v xml:space="preserve">   Total Monde</v>
      </c>
      <c r="C1716" s="1">
        <v>16755</v>
      </c>
      <c r="D1716" s="1">
        <v>7000000</v>
      </c>
    </row>
    <row r="1717" spans="1:4" s="6" customFormat="1" x14ac:dyDescent="0.25">
      <c r="A1717" s="6" t="str">
        <f>T("842382")</f>
        <v>842382</v>
      </c>
      <c r="B1717" s="6" t="str">
        <f>T("D'UNE PORTEE EXCEDANT 30 KG MAIS N'EXCEDANT PAS 5.000 KG")</f>
        <v>D'UNE PORTEE EXCEDANT 30 KG MAIS N'EXCEDANT PAS 5.000 KG</v>
      </c>
      <c r="C1717" s="1"/>
      <c r="D1717" s="1"/>
    </row>
    <row r="1718" spans="1:4" x14ac:dyDescent="0.25">
      <c r="B1718" t="str">
        <f>T("   Togo")</f>
        <v xml:space="preserve">   Togo</v>
      </c>
      <c r="C1718" s="2">
        <v>11000</v>
      </c>
      <c r="D1718" s="2">
        <v>7219492</v>
      </c>
    </row>
    <row r="1719" spans="1:4" s="6" customFormat="1" x14ac:dyDescent="0.25">
      <c r="B1719" s="6" t="str">
        <f>T("   Total Monde")</f>
        <v xml:space="preserve">   Total Monde</v>
      </c>
      <c r="C1719" s="1">
        <v>11000</v>
      </c>
      <c r="D1719" s="1">
        <v>7219492</v>
      </c>
    </row>
    <row r="1720" spans="1:4" s="6" customFormat="1" x14ac:dyDescent="0.25">
      <c r="A1720" s="6" t="str">
        <f>T("842389")</f>
        <v>842389</v>
      </c>
      <c r="B1720" s="6" t="str">
        <f>T("AUTRES")</f>
        <v>AUTRES</v>
      </c>
      <c r="C1720" s="1"/>
      <c r="D1720" s="1"/>
    </row>
    <row r="1721" spans="1:4" x14ac:dyDescent="0.25">
      <c r="B1721" t="str">
        <f>T("   Gabon")</f>
        <v xml:space="preserve">   Gabon</v>
      </c>
      <c r="C1721" s="2">
        <v>1363</v>
      </c>
      <c r="D1721" s="2">
        <v>9857111</v>
      </c>
    </row>
    <row r="1722" spans="1:4" x14ac:dyDescent="0.25">
      <c r="B1722" t="str">
        <f>T("   Togo")</f>
        <v xml:space="preserve">   Togo</v>
      </c>
      <c r="C1722" s="2">
        <v>11000</v>
      </c>
      <c r="D1722" s="2">
        <v>16712650</v>
      </c>
    </row>
    <row r="1723" spans="1:4" s="6" customFormat="1" x14ac:dyDescent="0.25">
      <c r="B1723" s="6" t="str">
        <f>T("   Total Monde")</f>
        <v xml:space="preserve">   Total Monde</v>
      </c>
      <c r="C1723" s="1">
        <v>12363</v>
      </c>
      <c r="D1723" s="1">
        <v>26569761</v>
      </c>
    </row>
    <row r="1724" spans="1:4" s="6" customFormat="1" x14ac:dyDescent="0.25">
      <c r="A1724" s="6" t="str">
        <f>T("842390")</f>
        <v>842390</v>
      </c>
      <c r="B1724" s="6" t="str">
        <f>T("POIDS POUR TOUTES BALANCES; PARTIES D'APPAREILS OU INSTRUMENTS DE PESAGE")</f>
        <v>POIDS POUR TOUTES BALANCES; PARTIES D'APPAREILS OU INSTRUMENTS DE PESAGE</v>
      </c>
      <c r="C1724" s="1"/>
      <c r="D1724" s="1"/>
    </row>
    <row r="1725" spans="1:4" x14ac:dyDescent="0.25">
      <c r="B1725" t="str">
        <f>T("   Ghana")</f>
        <v xml:space="preserve">   Ghana</v>
      </c>
      <c r="C1725" s="2">
        <v>17040</v>
      </c>
      <c r="D1725" s="2">
        <v>18564015</v>
      </c>
    </row>
    <row r="1726" spans="1:4" s="6" customFormat="1" x14ac:dyDescent="0.25">
      <c r="B1726" s="6" t="str">
        <f>T("   Total Monde")</f>
        <v xml:space="preserve">   Total Monde</v>
      </c>
      <c r="C1726" s="1">
        <v>17040</v>
      </c>
      <c r="D1726" s="1">
        <v>18564015</v>
      </c>
    </row>
    <row r="1727" spans="1:4" s="6" customFormat="1" x14ac:dyDescent="0.25">
      <c r="A1727" s="6" t="str">
        <f>T("842410")</f>
        <v>842410</v>
      </c>
      <c r="B1727" s="6" t="str">
        <f>T("EXTINCTEURS, MEME CHARGES")</f>
        <v>EXTINCTEURS, MEME CHARGES</v>
      </c>
      <c r="C1727" s="1"/>
      <c r="D1727" s="1"/>
    </row>
    <row r="1728" spans="1:4" x14ac:dyDescent="0.25">
      <c r="B1728" t="str">
        <f>T("   France")</f>
        <v xml:space="preserve">   France</v>
      </c>
      <c r="C1728" s="2">
        <v>1</v>
      </c>
      <c r="D1728" s="2">
        <v>4591720</v>
      </c>
    </row>
    <row r="1729" spans="1:4" x14ac:dyDescent="0.25">
      <c r="B1729" t="str">
        <f>T("   Pays-bas")</f>
        <v xml:space="preserve">   Pays-bas</v>
      </c>
      <c r="C1729" s="2">
        <v>17</v>
      </c>
      <c r="D1729" s="2">
        <v>4001745</v>
      </c>
    </row>
    <row r="1730" spans="1:4" s="6" customFormat="1" x14ac:dyDescent="0.25">
      <c r="B1730" s="6" t="str">
        <f>T("   Total Monde")</f>
        <v xml:space="preserve">   Total Monde</v>
      </c>
      <c r="C1730" s="1">
        <v>18</v>
      </c>
      <c r="D1730" s="1">
        <v>8593465</v>
      </c>
    </row>
    <row r="1731" spans="1:4" s="6" customFormat="1" x14ac:dyDescent="0.25">
      <c r="A1731" s="6" t="str">
        <f>T("842420")</f>
        <v>842420</v>
      </c>
      <c r="B1731" s="6" t="str">
        <f>T("Pistolets aerographes et appareils similaires")</f>
        <v>Pistolets aerographes et appareils similaires</v>
      </c>
      <c r="C1731" s="1"/>
      <c r="D1731" s="1"/>
    </row>
    <row r="1732" spans="1:4" x14ac:dyDescent="0.25">
      <c r="B1732" t="str">
        <f>T("   Gabon")</f>
        <v xml:space="preserve">   Gabon</v>
      </c>
      <c r="C1732" s="2">
        <v>27</v>
      </c>
      <c r="D1732" s="2">
        <v>284797</v>
      </c>
    </row>
    <row r="1733" spans="1:4" s="6" customFormat="1" x14ac:dyDescent="0.25">
      <c r="B1733" s="6" t="str">
        <f>T("   Total Monde")</f>
        <v xml:space="preserve">   Total Monde</v>
      </c>
      <c r="C1733" s="1">
        <v>27</v>
      </c>
      <c r="D1733" s="1">
        <v>284797</v>
      </c>
    </row>
    <row r="1734" spans="1:4" s="6" customFormat="1" x14ac:dyDescent="0.25">
      <c r="A1734" s="6" t="str">
        <f>T("842430")</f>
        <v>842430</v>
      </c>
      <c r="B1734" s="6" t="str">
        <f>T("MACHINES ET APPAREILS A JET DE SABLE, A JET DE VAPEUR ET APPAREILS A JET SIMILAIRES")</f>
        <v>MACHINES ET APPAREILS A JET DE SABLE, A JET DE VAPEUR ET APPAREILS A JET SIMILAIRES</v>
      </c>
      <c r="C1734" s="1"/>
      <c r="D1734" s="1"/>
    </row>
    <row r="1735" spans="1:4" x14ac:dyDescent="0.25">
      <c r="B1735" t="str">
        <f>T("   Malaisie")</f>
        <v xml:space="preserve">   Malaisie</v>
      </c>
      <c r="C1735" s="2">
        <v>32885</v>
      </c>
      <c r="D1735" s="2">
        <v>138908005</v>
      </c>
    </row>
    <row r="1736" spans="1:4" x14ac:dyDescent="0.25">
      <c r="B1736" t="str">
        <f>T("   Pays-bas")</f>
        <v xml:space="preserve">   Pays-bas</v>
      </c>
      <c r="C1736" s="2">
        <v>849</v>
      </c>
      <c r="D1736" s="2">
        <v>3585055</v>
      </c>
    </row>
    <row r="1737" spans="1:4" s="6" customFormat="1" x14ac:dyDescent="0.25">
      <c r="B1737" s="6" t="str">
        <f>T("   Total Monde")</f>
        <v xml:space="preserve">   Total Monde</v>
      </c>
      <c r="C1737" s="1">
        <v>33734</v>
      </c>
      <c r="D1737" s="1">
        <v>142493060</v>
      </c>
    </row>
    <row r="1738" spans="1:4" s="6" customFormat="1" x14ac:dyDescent="0.25">
      <c r="A1738" s="6" t="str">
        <f>T("842481")</f>
        <v>842481</v>
      </c>
      <c r="B1738" s="6" t="str">
        <f>T("POUR L'AGRICULTURE OU L'HORTICULTURE")</f>
        <v>POUR L'AGRICULTURE OU L'HORTICULTURE</v>
      </c>
      <c r="C1738" s="1"/>
      <c r="D1738" s="1"/>
    </row>
    <row r="1739" spans="1:4" x14ac:dyDescent="0.25">
      <c r="B1739" t="str">
        <f>T("   Ghana")</f>
        <v xml:space="preserve">   Ghana</v>
      </c>
      <c r="C1739" s="2">
        <v>75</v>
      </c>
      <c r="D1739" s="2">
        <v>35985931</v>
      </c>
    </row>
    <row r="1740" spans="1:4" s="6" customFormat="1" x14ac:dyDescent="0.25">
      <c r="B1740" s="6" t="str">
        <f>T("   Total Monde")</f>
        <v xml:space="preserve">   Total Monde</v>
      </c>
      <c r="C1740" s="1">
        <v>75</v>
      </c>
      <c r="D1740" s="1">
        <v>35985931</v>
      </c>
    </row>
    <row r="1741" spans="1:4" s="6" customFormat="1" x14ac:dyDescent="0.25">
      <c r="A1741" s="6" t="str">
        <f>T("842489")</f>
        <v>842489</v>
      </c>
      <c r="B1741" s="6" t="str">
        <f>T("AUTRES")</f>
        <v>AUTRES</v>
      </c>
      <c r="C1741" s="1"/>
      <c r="D1741" s="1"/>
    </row>
    <row r="1742" spans="1:4" x14ac:dyDescent="0.25">
      <c r="B1742" t="str">
        <f>T("   Etats-Unis")</f>
        <v xml:space="preserve">   Etats-Unis</v>
      </c>
      <c r="C1742" s="2">
        <v>8</v>
      </c>
      <c r="D1742" s="2">
        <v>676451</v>
      </c>
    </row>
    <row r="1743" spans="1:4" s="6" customFormat="1" x14ac:dyDescent="0.25">
      <c r="B1743" s="6" t="str">
        <f>T("   Total Monde")</f>
        <v xml:space="preserve">   Total Monde</v>
      </c>
      <c r="C1743" s="1">
        <v>8</v>
      </c>
      <c r="D1743" s="1">
        <v>676451</v>
      </c>
    </row>
    <row r="1744" spans="1:4" s="6" customFormat="1" x14ac:dyDescent="0.25">
      <c r="A1744" s="6" t="str">
        <f>T("842490")</f>
        <v>842490</v>
      </c>
      <c r="B1744" s="6" t="str">
        <f>T("PARTIES")</f>
        <v>PARTIES</v>
      </c>
      <c r="C1744" s="1"/>
      <c r="D1744" s="1"/>
    </row>
    <row r="1745" spans="1:4" x14ac:dyDescent="0.25">
      <c r="B1745" t="str">
        <f>T("   Ghana")</f>
        <v xml:space="preserve">   Ghana</v>
      </c>
      <c r="C1745" s="2">
        <v>212</v>
      </c>
      <c r="D1745" s="2">
        <v>73973902</v>
      </c>
    </row>
    <row r="1746" spans="1:4" x14ac:dyDescent="0.25">
      <c r="B1746" t="str">
        <f>T("   Etats-Unis")</f>
        <v xml:space="preserve">   Etats-Unis</v>
      </c>
      <c r="C1746" s="2">
        <v>243</v>
      </c>
      <c r="D1746" s="2">
        <v>75736629</v>
      </c>
    </row>
    <row r="1747" spans="1:4" s="6" customFormat="1" x14ac:dyDescent="0.25">
      <c r="B1747" s="6" t="str">
        <f>T("   Total Monde")</f>
        <v xml:space="preserve">   Total Monde</v>
      </c>
      <c r="C1747" s="1">
        <v>455</v>
      </c>
      <c r="D1747" s="1">
        <v>149710531</v>
      </c>
    </row>
    <row r="1748" spans="1:4" s="6" customFormat="1" x14ac:dyDescent="0.25">
      <c r="A1748" s="6" t="str">
        <f>T("842511")</f>
        <v>842511</v>
      </c>
      <c r="B1748" s="6" t="str">
        <f>T("A MOTEUR ELECTRIQUE")</f>
        <v>A MOTEUR ELECTRIQUE</v>
      </c>
      <c r="C1748" s="1"/>
      <c r="D1748" s="1"/>
    </row>
    <row r="1749" spans="1:4" x14ac:dyDescent="0.25">
      <c r="B1749" t="str">
        <f>T("   Canada")</f>
        <v xml:space="preserve">   Canada</v>
      </c>
      <c r="C1749" s="2">
        <v>783</v>
      </c>
      <c r="D1749" s="2">
        <v>34112844</v>
      </c>
    </row>
    <row r="1750" spans="1:4" s="6" customFormat="1" x14ac:dyDescent="0.25">
      <c r="B1750" s="6" t="str">
        <f>T("   Total Monde")</f>
        <v xml:space="preserve">   Total Monde</v>
      </c>
      <c r="C1750" s="1">
        <v>783</v>
      </c>
      <c r="D1750" s="1">
        <v>34112844</v>
      </c>
    </row>
    <row r="1751" spans="1:4" s="6" customFormat="1" x14ac:dyDescent="0.25">
      <c r="A1751" s="6" t="str">
        <f>T("842539")</f>
        <v>842539</v>
      </c>
      <c r="B1751" s="6" t="str">
        <f>T("AUTRES")</f>
        <v>AUTRES</v>
      </c>
      <c r="C1751" s="1"/>
      <c r="D1751" s="1"/>
    </row>
    <row r="1752" spans="1:4" x14ac:dyDescent="0.25">
      <c r="B1752" t="str">
        <f>T("   Royaume-Uni")</f>
        <v xml:space="preserve">   Royaume-Uni</v>
      </c>
      <c r="C1752" s="2">
        <v>3379</v>
      </c>
      <c r="D1752" s="2">
        <v>50049999</v>
      </c>
    </row>
    <row r="1753" spans="1:4" x14ac:dyDescent="0.25">
      <c r="B1753" t="str">
        <f>T("   Turquie")</f>
        <v xml:space="preserve">   Turquie</v>
      </c>
      <c r="C1753" s="2">
        <v>34292</v>
      </c>
      <c r="D1753" s="2">
        <v>333477298</v>
      </c>
    </row>
    <row r="1754" spans="1:4" s="6" customFormat="1" x14ac:dyDescent="0.25">
      <c r="B1754" s="6" t="str">
        <f>T("   Total Monde")</f>
        <v xml:space="preserve">   Total Monde</v>
      </c>
      <c r="C1754" s="1">
        <v>37671</v>
      </c>
      <c r="D1754" s="1">
        <v>383527297</v>
      </c>
    </row>
    <row r="1755" spans="1:4" s="6" customFormat="1" x14ac:dyDescent="0.25">
      <c r="A1755" s="6" t="str">
        <f>T("842542")</f>
        <v>842542</v>
      </c>
      <c r="B1755" s="6" t="str">
        <f>T("AUTRES CRICS ET VERINS, HYDRAULIQUES")</f>
        <v>AUTRES CRICS ET VERINS, HYDRAULIQUES</v>
      </c>
      <c r="C1755" s="1"/>
      <c r="D1755" s="1"/>
    </row>
    <row r="1756" spans="1:4" x14ac:dyDescent="0.25">
      <c r="B1756" t="str">
        <f>T("   Côte d'Ivoire")</f>
        <v xml:space="preserve">   Côte d'Ivoire</v>
      </c>
      <c r="C1756" s="2">
        <v>430</v>
      </c>
      <c r="D1756" s="2">
        <v>1200000</v>
      </c>
    </row>
    <row r="1757" spans="1:4" x14ac:dyDescent="0.25">
      <c r="B1757" t="str">
        <f>T("   Royaume-Uni")</f>
        <v xml:space="preserve">   Royaume-Uni</v>
      </c>
      <c r="C1757" s="2">
        <v>30</v>
      </c>
      <c r="D1757" s="2">
        <v>582539</v>
      </c>
    </row>
    <row r="1758" spans="1:4" s="6" customFormat="1" x14ac:dyDescent="0.25">
      <c r="B1758" s="6" t="str">
        <f>T("   Total Monde")</f>
        <v xml:space="preserve">   Total Monde</v>
      </c>
      <c r="C1758" s="1">
        <v>460</v>
      </c>
      <c r="D1758" s="1">
        <v>1782539</v>
      </c>
    </row>
    <row r="1759" spans="1:4" s="6" customFormat="1" x14ac:dyDescent="0.25">
      <c r="A1759" s="6" t="str">
        <f>T("842549")</f>
        <v>842549</v>
      </c>
      <c r="B1759" s="6" t="str">
        <f>T("AUTRES")</f>
        <v>AUTRES</v>
      </c>
      <c r="C1759" s="1"/>
      <c r="D1759" s="1"/>
    </row>
    <row r="1760" spans="1:4" x14ac:dyDescent="0.25">
      <c r="B1760" t="str">
        <f>T("   France")</f>
        <v xml:space="preserve">   France</v>
      </c>
      <c r="C1760" s="2">
        <v>12317</v>
      </c>
      <c r="D1760" s="2">
        <v>3931327</v>
      </c>
    </row>
    <row r="1761" spans="1:4" x14ac:dyDescent="0.25">
      <c r="B1761" t="str">
        <f>T("   Gabon")</f>
        <v xml:space="preserve">   Gabon</v>
      </c>
      <c r="C1761" s="2">
        <v>2852</v>
      </c>
      <c r="D1761" s="2">
        <v>27876248</v>
      </c>
    </row>
    <row r="1762" spans="1:4" x14ac:dyDescent="0.25">
      <c r="B1762" t="str">
        <f>T("   Philippines")</f>
        <v xml:space="preserve">   Philippines</v>
      </c>
      <c r="C1762" s="2">
        <v>62</v>
      </c>
      <c r="D1762" s="2">
        <v>248948</v>
      </c>
    </row>
    <row r="1763" spans="1:4" x14ac:dyDescent="0.25">
      <c r="B1763" t="str">
        <f>T("   Turquie")</f>
        <v xml:space="preserve">   Turquie</v>
      </c>
      <c r="C1763" s="2">
        <v>25000</v>
      </c>
      <c r="D1763" s="2">
        <v>89156743</v>
      </c>
    </row>
    <row r="1764" spans="1:4" s="6" customFormat="1" x14ac:dyDescent="0.25">
      <c r="B1764" s="6" t="str">
        <f>T("   Total Monde")</f>
        <v xml:space="preserve">   Total Monde</v>
      </c>
      <c r="C1764" s="1">
        <v>40231</v>
      </c>
      <c r="D1764" s="1">
        <v>121213266</v>
      </c>
    </row>
    <row r="1765" spans="1:4" s="6" customFormat="1" x14ac:dyDescent="0.25">
      <c r="A1765" s="6" t="str">
        <f>T("842611")</f>
        <v>842611</v>
      </c>
      <c r="B1765" s="6" t="str">
        <f>T("PONTS ROULANTS ET POUTRES ROULANTES, SUR SUPPORTS FIXES")</f>
        <v>PONTS ROULANTS ET POUTRES ROULANTES, SUR SUPPORTS FIXES</v>
      </c>
      <c r="C1765" s="1"/>
      <c r="D1765" s="1"/>
    </row>
    <row r="1766" spans="1:4" x14ac:dyDescent="0.25">
      <c r="B1766" t="str">
        <f>T("   Côte d'Ivoire")</f>
        <v xml:space="preserve">   Côte d'Ivoire</v>
      </c>
      <c r="C1766" s="2">
        <v>8210</v>
      </c>
      <c r="D1766" s="2">
        <v>43297225</v>
      </c>
    </row>
    <row r="1767" spans="1:4" x14ac:dyDescent="0.25">
      <c r="B1767" t="str">
        <f>T("   Hong-Kong")</f>
        <v xml:space="preserve">   Hong-Kong</v>
      </c>
      <c r="C1767" s="2">
        <v>65</v>
      </c>
      <c r="D1767" s="2">
        <v>139411</v>
      </c>
    </row>
    <row r="1768" spans="1:4" s="6" customFormat="1" x14ac:dyDescent="0.25">
      <c r="B1768" s="6" t="str">
        <f>T("   Total Monde")</f>
        <v xml:space="preserve">   Total Monde</v>
      </c>
      <c r="C1768" s="1">
        <v>8275</v>
      </c>
      <c r="D1768" s="1">
        <v>43436636</v>
      </c>
    </row>
    <row r="1769" spans="1:4" s="6" customFormat="1" x14ac:dyDescent="0.25">
      <c r="A1769" s="6" t="str">
        <f>T("842620")</f>
        <v>842620</v>
      </c>
      <c r="B1769" s="6" t="str">
        <f>T("Grues a tour")</f>
        <v>Grues a tour</v>
      </c>
      <c r="C1769" s="1"/>
      <c r="D1769" s="1"/>
    </row>
    <row r="1770" spans="1:4" x14ac:dyDescent="0.25">
      <c r="B1770" t="str">
        <f>T("   Djibouti")</f>
        <v xml:space="preserve">   Djibouti</v>
      </c>
      <c r="C1770" s="2">
        <v>67249</v>
      </c>
      <c r="D1770" s="2">
        <v>63815210</v>
      </c>
    </row>
    <row r="1771" spans="1:4" x14ac:dyDescent="0.25">
      <c r="B1771" t="str">
        <f>T("   France")</f>
        <v xml:space="preserve">   France</v>
      </c>
      <c r="C1771" s="2">
        <v>130000</v>
      </c>
      <c r="D1771" s="2">
        <v>1584160848</v>
      </c>
    </row>
    <row r="1772" spans="1:4" x14ac:dyDescent="0.25">
      <c r="B1772" t="str">
        <f>T("   Nigéria")</f>
        <v xml:space="preserve">   Nigéria</v>
      </c>
      <c r="C1772" s="2">
        <v>575630</v>
      </c>
      <c r="D1772" s="2">
        <v>232860778</v>
      </c>
    </row>
    <row r="1773" spans="1:4" x14ac:dyDescent="0.25">
      <c r="B1773" t="str">
        <f>T("   Togo")</f>
        <v xml:space="preserve">   Togo</v>
      </c>
      <c r="C1773" s="2">
        <v>20000</v>
      </c>
      <c r="D1773" s="2">
        <v>10750000</v>
      </c>
    </row>
    <row r="1774" spans="1:4" s="6" customFormat="1" x14ac:dyDescent="0.25">
      <c r="B1774" s="6" t="str">
        <f>T("   Total Monde")</f>
        <v xml:space="preserve">   Total Monde</v>
      </c>
      <c r="C1774" s="1">
        <v>792879</v>
      </c>
      <c r="D1774" s="1">
        <v>1891586836</v>
      </c>
    </row>
    <row r="1775" spans="1:4" s="6" customFormat="1" x14ac:dyDescent="0.25">
      <c r="A1775" s="6" t="str">
        <f>T("842630")</f>
        <v>842630</v>
      </c>
      <c r="B1775" s="6" t="str">
        <f>T("GRUES SUR PORTIQUES")</f>
        <v>GRUES SUR PORTIQUES</v>
      </c>
      <c r="C1775" s="1"/>
      <c r="D1775" s="1"/>
    </row>
    <row r="1776" spans="1:4" x14ac:dyDescent="0.25">
      <c r="B1776" t="str">
        <f>T("   Egypte")</f>
        <v xml:space="preserve">   Egypte</v>
      </c>
      <c r="C1776" s="2">
        <v>25000</v>
      </c>
      <c r="D1776" s="2">
        <v>25000000</v>
      </c>
    </row>
    <row r="1777" spans="1:4" x14ac:dyDescent="0.25">
      <c r="B1777" t="str">
        <f>T("   France")</f>
        <v xml:space="preserve">   France</v>
      </c>
      <c r="C1777" s="2">
        <v>8300</v>
      </c>
      <c r="D1777" s="2">
        <v>7871520</v>
      </c>
    </row>
    <row r="1778" spans="1:4" x14ac:dyDescent="0.25">
      <c r="B1778" t="str">
        <f>T("   Mali")</f>
        <v xml:space="preserve">   Mali</v>
      </c>
      <c r="C1778" s="2">
        <v>41140</v>
      </c>
      <c r="D1778" s="2">
        <v>183489067</v>
      </c>
    </row>
    <row r="1779" spans="1:4" s="6" customFormat="1" x14ac:dyDescent="0.25">
      <c r="B1779" s="6" t="str">
        <f>T("   Total Monde")</f>
        <v xml:space="preserve">   Total Monde</v>
      </c>
      <c r="C1779" s="1">
        <v>74440</v>
      </c>
      <c r="D1779" s="1">
        <v>216360587</v>
      </c>
    </row>
    <row r="1780" spans="1:4" s="6" customFormat="1" x14ac:dyDescent="0.25">
      <c r="A1780" s="6" t="str">
        <f>T("842641")</f>
        <v>842641</v>
      </c>
      <c r="B1780" s="6" t="str">
        <f>T("SUR PNEUMATIQUES")</f>
        <v>SUR PNEUMATIQUES</v>
      </c>
      <c r="C1780" s="1"/>
      <c r="D1780" s="1"/>
    </row>
    <row r="1781" spans="1:4" x14ac:dyDescent="0.25">
      <c r="B1781" t="str">
        <f>T("   Mali")</f>
        <v xml:space="preserve">   Mali</v>
      </c>
      <c r="C1781" s="2">
        <v>41100</v>
      </c>
      <c r="D1781" s="2">
        <v>52853977</v>
      </c>
    </row>
    <row r="1782" spans="1:4" x14ac:dyDescent="0.25">
      <c r="B1782" t="str">
        <f>T("   Togo")</f>
        <v xml:space="preserve">   Togo</v>
      </c>
      <c r="C1782" s="2">
        <v>4082</v>
      </c>
      <c r="D1782" s="2">
        <v>169119722</v>
      </c>
    </row>
    <row r="1783" spans="1:4" s="6" customFormat="1" x14ac:dyDescent="0.25">
      <c r="B1783" s="6" t="str">
        <f>T("   Total Monde")</f>
        <v xml:space="preserve">   Total Monde</v>
      </c>
      <c r="C1783" s="1">
        <v>45182</v>
      </c>
      <c r="D1783" s="1">
        <v>221973699</v>
      </c>
    </row>
    <row r="1784" spans="1:4" s="6" customFormat="1" x14ac:dyDescent="0.25">
      <c r="A1784" s="6" t="str">
        <f>T("842649")</f>
        <v>842649</v>
      </c>
      <c r="B1784" s="6" t="str">
        <f>T("AUTRES")</f>
        <v>AUTRES</v>
      </c>
      <c r="C1784" s="1"/>
      <c r="D1784" s="1"/>
    </row>
    <row r="1785" spans="1:4" x14ac:dyDescent="0.25">
      <c r="B1785" t="str">
        <f>T("   Maroc")</f>
        <v xml:space="preserve">   Maroc</v>
      </c>
      <c r="C1785" s="2">
        <v>104400</v>
      </c>
      <c r="D1785" s="2">
        <v>218340618</v>
      </c>
    </row>
    <row r="1786" spans="1:4" x14ac:dyDescent="0.25">
      <c r="B1786" t="str">
        <f>T("   Nigéria")</f>
        <v xml:space="preserve">   Nigéria</v>
      </c>
      <c r="C1786" s="2">
        <v>29400</v>
      </c>
      <c r="D1786" s="2">
        <v>52140387</v>
      </c>
    </row>
    <row r="1787" spans="1:4" x14ac:dyDescent="0.25">
      <c r="B1787" t="str">
        <f>T("   Togo")</f>
        <v xml:space="preserve">   Togo</v>
      </c>
      <c r="C1787" s="2">
        <v>52000</v>
      </c>
      <c r="D1787" s="2">
        <v>101293343</v>
      </c>
    </row>
    <row r="1788" spans="1:4" s="6" customFormat="1" x14ac:dyDescent="0.25">
      <c r="B1788" s="6" t="str">
        <f>T("   Total Monde")</f>
        <v xml:space="preserve">   Total Monde</v>
      </c>
      <c r="C1788" s="1">
        <v>185800</v>
      </c>
      <c r="D1788" s="1">
        <v>371774348</v>
      </c>
    </row>
    <row r="1789" spans="1:4" s="6" customFormat="1" x14ac:dyDescent="0.25">
      <c r="A1789" s="6" t="str">
        <f>T("842710")</f>
        <v>842710</v>
      </c>
      <c r="B1789" s="6" t="str">
        <f>T("CHARIOTS AUTOPROPULSES A MOTEUR ELECTRIQUE")</f>
        <v>CHARIOTS AUTOPROPULSES A MOTEUR ELECTRIQUE</v>
      </c>
      <c r="C1789" s="1"/>
      <c r="D1789" s="1"/>
    </row>
    <row r="1790" spans="1:4" x14ac:dyDescent="0.25">
      <c r="B1790" t="str">
        <f>T("   Etats-Unis")</f>
        <v xml:space="preserve">   Etats-Unis</v>
      </c>
      <c r="C1790" s="2">
        <v>995</v>
      </c>
      <c r="D1790" s="2">
        <v>6273490</v>
      </c>
    </row>
    <row r="1791" spans="1:4" s="6" customFormat="1" x14ac:dyDescent="0.25">
      <c r="B1791" s="6" t="str">
        <f>T("   Total Monde")</f>
        <v xml:space="preserve">   Total Monde</v>
      </c>
      <c r="C1791" s="1">
        <v>995</v>
      </c>
      <c r="D1791" s="1">
        <v>6273490</v>
      </c>
    </row>
    <row r="1792" spans="1:4" s="6" customFormat="1" x14ac:dyDescent="0.25">
      <c r="A1792" s="6" t="str">
        <f>T("842720")</f>
        <v>842720</v>
      </c>
      <c r="B1792" s="6" t="str">
        <f>T("AUTRES CHARIOTS AUTOPROPULSES")</f>
        <v>AUTRES CHARIOTS AUTOPROPULSES</v>
      </c>
      <c r="C1792" s="1"/>
      <c r="D1792" s="1"/>
    </row>
    <row r="1793" spans="1:4" x14ac:dyDescent="0.25">
      <c r="B1793" t="str">
        <f>T("   Côte d'Ivoire")</f>
        <v xml:space="preserve">   Côte d'Ivoire</v>
      </c>
      <c r="C1793" s="2">
        <v>7854</v>
      </c>
      <c r="D1793" s="2">
        <v>9000000</v>
      </c>
    </row>
    <row r="1794" spans="1:4" x14ac:dyDescent="0.25">
      <c r="B1794" t="str">
        <f>T("   Togo")</f>
        <v xml:space="preserve">   Togo</v>
      </c>
      <c r="C1794" s="2">
        <v>10000</v>
      </c>
      <c r="D1794" s="2">
        <v>8199500</v>
      </c>
    </row>
    <row r="1795" spans="1:4" s="6" customFormat="1" x14ac:dyDescent="0.25">
      <c r="B1795" s="6" t="str">
        <f>T("   Total Monde")</f>
        <v xml:space="preserve">   Total Monde</v>
      </c>
      <c r="C1795" s="1">
        <v>17854</v>
      </c>
      <c r="D1795" s="1">
        <v>17199500</v>
      </c>
    </row>
    <row r="1796" spans="1:4" s="6" customFormat="1" x14ac:dyDescent="0.25">
      <c r="A1796" s="6" t="str">
        <f>T("842790")</f>
        <v>842790</v>
      </c>
      <c r="B1796" s="6" t="str">
        <f>T("AUTRES CHARIOTS")</f>
        <v>AUTRES CHARIOTS</v>
      </c>
      <c r="C1796" s="1"/>
      <c r="D1796" s="1"/>
    </row>
    <row r="1797" spans="1:4" x14ac:dyDescent="0.25">
      <c r="B1797" t="str">
        <f>T("   France")</f>
        <v xml:space="preserve">   France</v>
      </c>
      <c r="C1797" s="2">
        <v>3000</v>
      </c>
      <c r="D1797" s="2">
        <v>24257401</v>
      </c>
    </row>
    <row r="1798" spans="1:4" x14ac:dyDescent="0.25">
      <c r="B1798" t="str">
        <f>T("   Gabon")</f>
        <v xml:space="preserve">   Gabon</v>
      </c>
      <c r="C1798" s="2">
        <v>7240</v>
      </c>
      <c r="D1798" s="2">
        <v>34671486</v>
      </c>
    </row>
    <row r="1799" spans="1:4" x14ac:dyDescent="0.25">
      <c r="B1799" t="str">
        <f>T("   Togo")</f>
        <v xml:space="preserve">   Togo</v>
      </c>
      <c r="C1799" s="2">
        <v>33300</v>
      </c>
      <c r="D1799" s="2">
        <v>63221424</v>
      </c>
    </row>
    <row r="1800" spans="1:4" s="6" customFormat="1" x14ac:dyDescent="0.25">
      <c r="B1800" s="6" t="str">
        <f>T("   Total Monde")</f>
        <v xml:space="preserve">   Total Monde</v>
      </c>
      <c r="C1800" s="1">
        <v>43540</v>
      </c>
      <c r="D1800" s="1">
        <v>122150311</v>
      </c>
    </row>
    <row r="1801" spans="1:4" s="6" customFormat="1" x14ac:dyDescent="0.25">
      <c r="A1801" s="6" t="str">
        <f>T("842839")</f>
        <v>842839</v>
      </c>
      <c r="B1801" s="6" t="str">
        <f>T("AUTRES")</f>
        <v>AUTRES</v>
      </c>
      <c r="C1801" s="1"/>
      <c r="D1801" s="1"/>
    </row>
    <row r="1802" spans="1:4" x14ac:dyDescent="0.25">
      <c r="B1802" t="str">
        <f>T("   Belgique")</f>
        <v xml:space="preserve">   Belgique</v>
      </c>
      <c r="C1802" s="2">
        <v>28000</v>
      </c>
      <c r="D1802" s="2">
        <v>129014212</v>
      </c>
    </row>
    <row r="1803" spans="1:4" x14ac:dyDescent="0.25">
      <c r="B1803" t="str">
        <f>T("   Ghana")</f>
        <v xml:space="preserve">   Ghana</v>
      </c>
      <c r="C1803" s="2">
        <v>96908</v>
      </c>
      <c r="D1803" s="2">
        <v>225889829</v>
      </c>
    </row>
    <row r="1804" spans="1:4" s="6" customFormat="1" x14ac:dyDescent="0.25">
      <c r="B1804" s="6" t="str">
        <f>T("   Total Monde")</f>
        <v xml:space="preserve">   Total Monde</v>
      </c>
      <c r="C1804" s="1">
        <v>124908</v>
      </c>
      <c r="D1804" s="1">
        <v>354904041</v>
      </c>
    </row>
    <row r="1805" spans="1:4" s="6" customFormat="1" x14ac:dyDescent="0.25">
      <c r="A1805" s="6" t="str">
        <f>T("842860")</f>
        <v>842860</v>
      </c>
      <c r="B1805" s="6" t="str">
        <f>T("TELEPHERIQUES (Y COMPRIS LES TELESIEGES ET REMONTEPENTES); MECANISMES DE TRACTION PO")</f>
        <v>TELEPHERIQUES (Y COMPRIS LES TELESIEGES ET REMONTEPENTES); MECANISMES DE TRACTION PO</v>
      </c>
      <c r="C1805" s="1"/>
      <c r="D1805" s="1"/>
    </row>
    <row r="1806" spans="1:4" x14ac:dyDescent="0.25">
      <c r="B1806" t="str">
        <f>T("   Gabon")</f>
        <v xml:space="preserve">   Gabon</v>
      </c>
      <c r="C1806" s="2">
        <v>1350</v>
      </c>
      <c r="D1806" s="2">
        <v>83806505</v>
      </c>
    </row>
    <row r="1807" spans="1:4" s="6" customFormat="1" x14ac:dyDescent="0.25">
      <c r="B1807" s="6" t="str">
        <f>T("   Total Monde")</f>
        <v xml:space="preserve">   Total Monde</v>
      </c>
      <c r="C1807" s="1">
        <v>1350</v>
      </c>
      <c r="D1807" s="1">
        <v>83806505</v>
      </c>
    </row>
    <row r="1808" spans="1:4" s="6" customFormat="1" x14ac:dyDescent="0.25">
      <c r="A1808" s="6" t="str">
        <f>T("842890")</f>
        <v>842890</v>
      </c>
      <c r="B1808" s="6" t="str">
        <f>T("AUTRES MACHINES ET APPAREILS")</f>
        <v>AUTRES MACHINES ET APPAREILS</v>
      </c>
      <c r="C1808" s="1"/>
      <c r="D1808" s="1"/>
    </row>
    <row r="1809" spans="1:4" x14ac:dyDescent="0.25">
      <c r="B1809" t="str">
        <f>T("   Gabon")</f>
        <v xml:space="preserve">   Gabon</v>
      </c>
      <c r="C1809" s="2">
        <v>19976</v>
      </c>
      <c r="D1809" s="2">
        <v>168598539</v>
      </c>
    </row>
    <row r="1810" spans="1:4" s="6" customFormat="1" x14ac:dyDescent="0.25">
      <c r="B1810" s="6" t="str">
        <f>T("   Total Monde")</f>
        <v xml:space="preserve">   Total Monde</v>
      </c>
      <c r="C1810" s="1">
        <v>19976</v>
      </c>
      <c r="D1810" s="1">
        <v>168598539</v>
      </c>
    </row>
    <row r="1811" spans="1:4" s="6" customFormat="1" x14ac:dyDescent="0.25">
      <c r="A1811" s="6" t="str">
        <f>T("842911")</f>
        <v>842911</v>
      </c>
      <c r="B1811" s="6" t="str">
        <f>T("A CHENILLES")</f>
        <v>A CHENILLES</v>
      </c>
      <c r="C1811" s="1"/>
      <c r="D1811" s="1"/>
    </row>
    <row r="1812" spans="1:4" x14ac:dyDescent="0.25">
      <c r="B1812" t="str">
        <f>T("   Côte d'Ivoire")</f>
        <v xml:space="preserve">   Côte d'Ivoire</v>
      </c>
      <c r="C1812" s="2">
        <v>37873</v>
      </c>
      <c r="D1812" s="2">
        <v>9949400</v>
      </c>
    </row>
    <row r="1813" spans="1:4" s="6" customFormat="1" x14ac:dyDescent="0.25">
      <c r="B1813" s="6" t="str">
        <f>T("   Total Monde")</f>
        <v xml:space="preserve">   Total Monde</v>
      </c>
      <c r="C1813" s="1">
        <v>37873</v>
      </c>
      <c r="D1813" s="1">
        <v>9949400</v>
      </c>
    </row>
    <row r="1814" spans="1:4" s="6" customFormat="1" x14ac:dyDescent="0.25">
      <c r="A1814" s="6" t="str">
        <f>T("842919")</f>
        <v>842919</v>
      </c>
      <c r="B1814" s="6" t="str">
        <f>T("AUTRES")</f>
        <v>AUTRES</v>
      </c>
      <c r="C1814" s="1"/>
      <c r="D1814" s="1"/>
    </row>
    <row r="1815" spans="1:4" x14ac:dyDescent="0.25">
      <c r="B1815" t="str">
        <f>T("   Pays-bas")</f>
        <v xml:space="preserve">   Pays-bas</v>
      </c>
      <c r="C1815" s="2">
        <v>46000</v>
      </c>
      <c r="D1815" s="2">
        <v>128961736</v>
      </c>
    </row>
    <row r="1816" spans="1:4" s="6" customFormat="1" x14ac:dyDescent="0.25">
      <c r="B1816" s="6" t="str">
        <f>T("   Total Monde")</f>
        <v xml:space="preserve">   Total Monde</v>
      </c>
      <c r="C1816" s="1">
        <v>46000</v>
      </c>
      <c r="D1816" s="1">
        <v>128961736</v>
      </c>
    </row>
    <row r="1817" spans="1:4" s="6" customFormat="1" x14ac:dyDescent="0.25">
      <c r="A1817" s="6" t="str">
        <f>T("842920")</f>
        <v>842920</v>
      </c>
      <c r="B1817" s="6" t="str">
        <f>T("NIVELEUSES")</f>
        <v>NIVELEUSES</v>
      </c>
      <c r="C1817" s="1"/>
      <c r="D1817" s="1"/>
    </row>
    <row r="1818" spans="1:4" x14ac:dyDescent="0.25">
      <c r="B1818" t="str">
        <f>T("   Côte d'Ivoire")</f>
        <v xml:space="preserve">   Côte d'Ivoire</v>
      </c>
      <c r="C1818" s="2">
        <v>32120</v>
      </c>
      <c r="D1818" s="2">
        <v>40723200</v>
      </c>
    </row>
    <row r="1819" spans="1:4" x14ac:dyDescent="0.25">
      <c r="B1819" t="str">
        <f>T("   Togo")</f>
        <v xml:space="preserve">   Togo</v>
      </c>
      <c r="C1819" s="2">
        <v>41550</v>
      </c>
      <c r="D1819" s="2">
        <v>45921947</v>
      </c>
    </row>
    <row r="1820" spans="1:4" s="6" customFormat="1" x14ac:dyDescent="0.25">
      <c r="B1820" s="6" t="str">
        <f>T("   Total Monde")</f>
        <v xml:space="preserve">   Total Monde</v>
      </c>
      <c r="C1820" s="1">
        <v>73670</v>
      </c>
      <c r="D1820" s="1">
        <v>86645147</v>
      </c>
    </row>
    <row r="1821" spans="1:4" s="6" customFormat="1" x14ac:dyDescent="0.25">
      <c r="A1821" s="6" t="str">
        <f>T("842940")</f>
        <v>842940</v>
      </c>
      <c r="B1821" s="6" t="str">
        <f>T("COMPACTEUSES ET ROULEAUX COMPRESSEURS")</f>
        <v>COMPACTEUSES ET ROULEAUX COMPRESSEURS</v>
      </c>
      <c r="C1821" s="1"/>
      <c r="D1821" s="1"/>
    </row>
    <row r="1822" spans="1:4" x14ac:dyDescent="0.25">
      <c r="B1822" t="str">
        <f>T("   Congo (Brazzaville)")</f>
        <v xml:space="preserve">   Congo (Brazzaville)</v>
      </c>
      <c r="C1822" s="2">
        <v>21000</v>
      </c>
      <c r="D1822" s="2">
        <v>17038631</v>
      </c>
    </row>
    <row r="1823" spans="1:4" x14ac:dyDescent="0.25">
      <c r="B1823" t="str">
        <f>T("   Côte d'Ivoire")</f>
        <v xml:space="preserve">   Côte d'Ivoire</v>
      </c>
      <c r="C1823" s="2">
        <v>89861</v>
      </c>
      <c r="D1823" s="2">
        <v>74126481</v>
      </c>
    </row>
    <row r="1824" spans="1:4" x14ac:dyDescent="0.25">
      <c r="B1824" t="str">
        <f>T("   Chine")</f>
        <v xml:space="preserve">   Chine</v>
      </c>
      <c r="C1824" s="2">
        <v>12300</v>
      </c>
      <c r="D1824" s="2">
        <v>36359962</v>
      </c>
    </row>
    <row r="1825" spans="1:4" x14ac:dyDescent="0.25">
      <c r="B1825" t="str">
        <f>T("   Allemagne")</f>
        <v xml:space="preserve">   Allemagne</v>
      </c>
      <c r="C1825" s="2">
        <v>6460</v>
      </c>
      <c r="D1825" s="2">
        <v>8930075</v>
      </c>
    </row>
    <row r="1826" spans="1:4" x14ac:dyDescent="0.25">
      <c r="B1826" t="str">
        <f>T("   Pays-bas")</f>
        <v xml:space="preserve">   Pays-bas</v>
      </c>
      <c r="C1826" s="2">
        <v>6460</v>
      </c>
      <c r="D1826" s="2">
        <v>8930075</v>
      </c>
    </row>
    <row r="1827" spans="1:4" x14ac:dyDescent="0.25">
      <c r="B1827" t="str">
        <f>T("   Togo")</f>
        <v xml:space="preserve">   Togo</v>
      </c>
      <c r="C1827" s="2">
        <v>66215</v>
      </c>
      <c r="D1827" s="2">
        <v>114470740</v>
      </c>
    </row>
    <row r="1828" spans="1:4" s="6" customFormat="1" x14ac:dyDescent="0.25">
      <c r="B1828" s="6" t="str">
        <f>T("   Total Monde")</f>
        <v xml:space="preserve">   Total Monde</v>
      </c>
      <c r="C1828" s="1">
        <v>202296</v>
      </c>
      <c r="D1828" s="1">
        <v>259855964</v>
      </c>
    </row>
    <row r="1829" spans="1:4" s="6" customFormat="1" x14ac:dyDescent="0.25">
      <c r="A1829" s="6" t="str">
        <f>T("842951")</f>
        <v>842951</v>
      </c>
      <c r="B1829" s="6" t="str">
        <f>T("CHARGEUSES ET CHARGEUSESPELLETEUSES A CHARGEMENT FRONTAL")</f>
        <v>CHARGEUSES ET CHARGEUSESPELLETEUSES A CHARGEMENT FRONTAL</v>
      </c>
      <c r="C1829" s="1"/>
      <c r="D1829" s="1"/>
    </row>
    <row r="1830" spans="1:4" x14ac:dyDescent="0.25">
      <c r="B1830" t="str">
        <f>T("   Côte d'Ivoire")</f>
        <v xml:space="preserve">   Côte d'Ivoire</v>
      </c>
      <c r="C1830" s="2">
        <v>30000</v>
      </c>
      <c r="D1830" s="2">
        <v>35116800</v>
      </c>
    </row>
    <row r="1831" spans="1:4" x14ac:dyDescent="0.25">
      <c r="B1831" t="str">
        <f>T("   Allemagne")</f>
        <v xml:space="preserve">   Allemagne</v>
      </c>
      <c r="C1831" s="2">
        <v>6500</v>
      </c>
      <c r="D1831" s="2">
        <v>18270126</v>
      </c>
    </row>
    <row r="1832" spans="1:4" x14ac:dyDescent="0.25">
      <c r="B1832" t="str">
        <f>T("   France")</f>
        <v xml:space="preserve">   France</v>
      </c>
      <c r="C1832" s="2">
        <v>277500</v>
      </c>
      <c r="D1832" s="2">
        <v>936575394</v>
      </c>
    </row>
    <row r="1833" spans="1:4" x14ac:dyDescent="0.25">
      <c r="B1833" t="str">
        <f>T("   Mali")</f>
        <v xml:space="preserve">   Mali</v>
      </c>
      <c r="C1833" s="2">
        <v>18066</v>
      </c>
      <c r="D1833" s="2">
        <v>105508146</v>
      </c>
    </row>
    <row r="1834" spans="1:4" x14ac:dyDescent="0.25">
      <c r="B1834" t="str">
        <f>T("   Togo")</f>
        <v xml:space="preserve">   Togo</v>
      </c>
      <c r="C1834" s="2">
        <v>40000</v>
      </c>
      <c r="D1834" s="2">
        <v>57750926</v>
      </c>
    </row>
    <row r="1835" spans="1:4" s="6" customFormat="1" x14ac:dyDescent="0.25">
      <c r="B1835" s="6" t="str">
        <f>T("   Total Monde")</f>
        <v xml:space="preserve">   Total Monde</v>
      </c>
      <c r="C1835" s="1">
        <v>372066</v>
      </c>
      <c r="D1835" s="1">
        <v>1153221392</v>
      </c>
    </row>
    <row r="1836" spans="1:4" s="6" customFormat="1" x14ac:dyDescent="0.25">
      <c r="A1836" s="6" t="str">
        <f>T("842959")</f>
        <v>842959</v>
      </c>
      <c r="B1836" s="6" t="str">
        <f>T("AUTRES")</f>
        <v>AUTRES</v>
      </c>
      <c r="C1836" s="1"/>
      <c r="D1836" s="1"/>
    </row>
    <row r="1837" spans="1:4" x14ac:dyDescent="0.25">
      <c r="B1837" t="str">
        <f>T("   Burkina Faso")</f>
        <v xml:space="preserve">   Burkina Faso</v>
      </c>
      <c r="C1837" s="2">
        <v>36000</v>
      </c>
      <c r="D1837" s="2">
        <v>6000000</v>
      </c>
    </row>
    <row r="1838" spans="1:4" x14ac:dyDescent="0.25">
      <c r="B1838" t="str">
        <f>T("   France")</f>
        <v xml:space="preserve">   France</v>
      </c>
      <c r="C1838" s="2">
        <v>552000</v>
      </c>
      <c r="D1838" s="2">
        <v>1402847128</v>
      </c>
    </row>
    <row r="1839" spans="1:4" x14ac:dyDescent="0.25">
      <c r="B1839" t="str">
        <f>T("   Niger")</f>
        <v xml:space="preserve">   Niger</v>
      </c>
      <c r="C1839" s="2">
        <v>24495</v>
      </c>
      <c r="D1839" s="2">
        <v>22534200</v>
      </c>
    </row>
    <row r="1840" spans="1:4" x14ac:dyDescent="0.25">
      <c r="B1840" t="str">
        <f>T("   Nigéria")</f>
        <v xml:space="preserve">   Nigéria</v>
      </c>
      <c r="C1840" s="2">
        <v>40242</v>
      </c>
      <c r="D1840" s="2">
        <v>8226152</v>
      </c>
    </row>
    <row r="1841" spans="1:4" x14ac:dyDescent="0.25">
      <c r="B1841" t="str">
        <f>T("   Pays-bas")</f>
        <v xml:space="preserve">   Pays-bas</v>
      </c>
      <c r="C1841" s="2">
        <v>130000</v>
      </c>
      <c r="D1841" s="2">
        <v>237785500</v>
      </c>
    </row>
    <row r="1842" spans="1:4" x14ac:dyDescent="0.25">
      <c r="B1842" t="str">
        <f>T("   Togo")</f>
        <v xml:space="preserve">   Togo</v>
      </c>
      <c r="C1842" s="2">
        <v>357318</v>
      </c>
      <c r="D1842" s="2">
        <v>454759448</v>
      </c>
    </row>
    <row r="1843" spans="1:4" s="6" customFormat="1" x14ac:dyDescent="0.25">
      <c r="B1843" s="6" t="str">
        <f>T("   Total Monde")</f>
        <v xml:space="preserve">   Total Monde</v>
      </c>
      <c r="C1843" s="1">
        <v>1140055</v>
      </c>
      <c r="D1843" s="1">
        <v>2132152428</v>
      </c>
    </row>
    <row r="1844" spans="1:4" s="6" customFormat="1" x14ac:dyDescent="0.25">
      <c r="A1844" s="6" t="str">
        <f>T("843041")</f>
        <v>843041</v>
      </c>
      <c r="B1844" s="6" t="str">
        <f>T("AUTOPROPULSEES")</f>
        <v>AUTOPROPULSEES</v>
      </c>
      <c r="C1844" s="1"/>
      <c r="D1844" s="1"/>
    </row>
    <row r="1845" spans="1:4" x14ac:dyDescent="0.25">
      <c r="B1845" t="str">
        <f>T("   Gabon")</f>
        <v xml:space="preserve">   Gabon</v>
      </c>
      <c r="C1845" s="2">
        <v>3051</v>
      </c>
      <c r="D1845" s="2">
        <v>17981016</v>
      </c>
    </row>
    <row r="1846" spans="1:4" x14ac:dyDescent="0.25">
      <c r="B1846" t="str">
        <f>T("   Togo")</f>
        <v xml:space="preserve">   Togo</v>
      </c>
      <c r="C1846" s="2">
        <v>9020</v>
      </c>
      <c r="D1846" s="2">
        <v>4910500</v>
      </c>
    </row>
    <row r="1847" spans="1:4" s="6" customFormat="1" x14ac:dyDescent="0.25">
      <c r="B1847" s="6" t="str">
        <f>T("   Total Monde")</f>
        <v xml:space="preserve">   Total Monde</v>
      </c>
      <c r="C1847" s="1">
        <v>12071</v>
      </c>
      <c r="D1847" s="1">
        <v>22891516</v>
      </c>
    </row>
    <row r="1848" spans="1:4" s="6" customFormat="1" x14ac:dyDescent="0.25">
      <c r="A1848" s="6" t="str">
        <f>T("843049")</f>
        <v>843049</v>
      </c>
      <c r="B1848" s="6" t="str">
        <f>T("AUTRES")</f>
        <v>AUTRES</v>
      </c>
      <c r="C1848" s="1"/>
      <c r="D1848" s="1"/>
    </row>
    <row r="1849" spans="1:4" x14ac:dyDescent="0.25">
      <c r="B1849" t="str">
        <f>T("   Côte d'Ivoire")</f>
        <v xml:space="preserve">   Côte d'Ivoire</v>
      </c>
      <c r="C1849" s="2">
        <v>12500</v>
      </c>
      <c r="D1849" s="2">
        <v>58859946</v>
      </c>
    </row>
    <row r="1850" spans="1:4" x14ac:dyDescent="0.25">
      <c r="B1850" t="str">
        <f>T("   Chine")</f>
        <v xml:space="preserve">   Chine</v>
      </c>
      <c r="C1850" s="2">
        <v>110000</v>
      </c>
      <c r="D1850" s="2">
        <v>175000000</v>
      </c>
    </row>
    <row r="1851" spans="1:4" x14ac:dyDescent="0.25">
      <c r="B1851" t="str">
        <f>T("   Ghana")</f>
        <v xml:space="preserve">   Ghana</v>
      </c>
      <c r="C1851" s="2">
        <v>10000</v>
      </c>
      <c r="D1851" s="2">
        <v>118420580</v>
      </c>
    </row>
    <row r="1852" spans="1:4" x14ac:dyDescent="0.25">
      <c r="B1852" t="str">
        <f>T("   Nigéria")</f>
        <v xml:space="preserve">   Nigéria</v>
      </c>
      <c r="C1852" s="2">
        <v>18417</v>
      </c>
      <c r="D1852" s="2">
        <v>190509717</v>
      </c>
    </row>
    <row r="1853" spans="1:4" x14ac:dyDescent="0.25">
      <c r="B1853" t="str">
        <f>T("   Togo")</f>
        <v xml:space="preserve">   Togo</v>
      </c>
      <c r="C1853" s="2">
        <v>160000</v>
      </c>
      <c r="D1853" s="2">
        <v>196788000</v>
      </c>
    </row>
    <row r="1854" spans="1:4" x14ac:dyDescent="0.25">
      <c r="B1854" t="str">
        <f>T("   Tanzanie")</f>
        <v xml:space="preserve">   Tanzanie</v>
      </c>
      <c r="C1854" s="2">
        <v>164</v>
      </c>
      <c r="D1854" s="2">
        <v>27259806</v>
      </c>
    </row>
    <row r="1855" spans="1:4" s="6" customFormat="1" x14ac:dyDescent="0.25">
      <c r="B1855" s="6" t="str">
        <f>T("   Total Monde")</f>
        <v xml:space="preserve">   Total Monde</v>
      </c>
      <c r="C1855" s="1">
        <v>311081</v>
      </c>
      <c r="D1855" s="1">
        <v>766838049</v>
      </c>
    </row>
    <row r="1856" spans="1:4" s="6" customFormat="1" x14ac:dyDescent="0.25">
      <c r="A1856" s="6" t="str">
        <f>T("843061")</f>
        <v>843061</v>
      </c>
      <c r="B1856" s="6" t="str">
        <f>T("MACHINES ET APPAREILS A TASSER OU A COMPACTER")</f>
        <v>MACHINES ET APPAREILS A TASSER OU A COMPACTER</v>
      </c>
      <c r="C1856" s="1"/>
      <c r="D1856" s="1"/>
    </row>
    <row r="1857" spans="1:4" x14ac:dyDescent="0.25">
      <c r="B1857" t="str">
        <f>T("   Togo")</f>
        <v xml:space="preserve">   Togo</v>
      </c>
      <c r="C1857" s="2">
        <v>6500</v>
      </c>
      <c r="D1857" s="2">
        <v>3858694</v>
      </c>
    </row>
    <row r="1858" spans="1:4" s="6" customFormat="1" x14ac:dyDescent="0.25">
      <c r="B1858" s="6" t="str">
        <f>T("   Total Monde")</f>
        <v xml:space="preserve">   Total Monde</v>
      </c>
      <c r="C1858" s="1">
        <v>6500</v>
      </c>
      <c r="D1858" s="1">
        <v>3858694</v>
      </c>
    </row>
    <row r="1859" spans="1:4" s="6" customFormat="1" x14ac:dyDescent="0.25">
      <c r="A1859" s="6" t="str">
        <f>T("843069")</f>
        <v>843069</v>
      </c>
      <c r="B1859" s="6" t="str">
        <f>T("AUTRES")</f>
        <v>AUTRES</v>
      </c>
      <c r="C1859" s="1"/>
      <c r="D1859" s="1"/>
    </row>
    <row r="1860" spans="1:4" x14ac:dyDescent="0.25">
      <c r="B1860" t="str">
        <f>T("   France")</f>
        <v xml:space="preserve">   France</v>
      </c>
      <c r="C1860" s="2">
        <v>177870</v>
      </c>
      <c r="D1860" s="2">
        <v>61042440</v>
      </c>
    </row>
    <row r="1861" spans="1:4" s="6" customFormat="1" x14ac:dyDescent="0.25">
      <c r="B1861" s="6" t="str">
        <f>T("   Total Monde")</f>
        <v xml:space="preserve">   Total Monde</v>
      </c>
      <c r="C1861" s="1">
        <v>177870</v>
      </c>
      <c r="D1861" s="1">
        <v>61042440</v>
      </c>
    </row>
    <row r="1862" spans="1:4" s="6" customFormat="1" x14ac:dyDescent="0.25">
      <c r="A1862" s="6" t="str">
        <f>T("843120")</f>
        <v>843120</v>
      </c>
      <c r="B1862" s="6" t="str">
        <f>T("DE MACHINES OU APPAREILS DU N° 84.27")</f>
        <v>DE MACHINES OU APPAREILS DU N° 84.27</v>
      </c>
      <c r="C1862" s="1"/>
      <c r="D1862" s="1"/>
    </row>
    <row r="1863" spans="1:4" x14ac:dyDescent="0.25">
      <c r="B1863" t="str">
        <f>T("   Allemagne")</f>
        <v xml:space="preserve">   Allemagne</v>
      </c>
      <c r="C1863" s="2">
        <v>37070</v>
      </c>
      <c r="D1863" s="2">
        <v>53885180</v>
      </c>
    </row>
    <row r="1864" spans="1:4" x14ac:dyDescent="0.25">
      <c r="B1864" t="str">
        <f>T("   Danemark")</f>
        <v xml:space="preserve">   Danemark</v>
      </c>
      <c r="C1864" s="2">
        <v>1</v>
      </c>
      <c r="D1864" s="2">
        <v>422754</v>
      </c>
    </row>
    <row r="1865" spans="1:4" x14ac:dyDescent="0.25">
      <c r="B1865" t="str">
        <f>T("   France")</f>
        <v xml:space="preserve">   France</v>
      </c>
      <c r="C1865" s="2">
        <v>18400</v>
      </c>
      <c r="D1865" s="2">
        <v>2276181</v>
      </c>
    </row>
    <row r="1866" spans="1:4" s="6" customFormat="1" x14ac:dyDescent="0.25">
      <c r="B1866" s="6" t="str">
        <f>T("   Total Monde")</f>
        <v xml:space="preserve">   Total Monde</v>
      </c>
      <c r="C1866" s="1">
        <v>55471</v>
      </c>
      <c r="D1866" s="1">
        <v>56584115</v>
      </c>
    </row>
    <row r="1867" spans="1:4" s="6" customFormat="1" x14ac:dyDescent="0.25">
      <c r="A1867" s="6" t="str">
        <f>T("843131")</f>
        <v>843131</v>
      </c>
      <c r="B1867" s="6" t="str">
        <f>T("D'ASCENSEURS, MONTECHARGE OU ESCALIERS MECANIQUES")</f>
        <v>D'ASCENSEURS, MONTECHARGE OU ESCALIERS MECANIQUES</v>
      </c>
      <c r="C1867" s="1"/>
      <c r="D1867" s="1"/>
    </row>
    <row r="1868" spans="1:4" x14ac:dyDescent="0.25">
      <c r="B1868" t="str">
        <f>T("   Etats-Unis")</f>
        <v xml:space="preserve">   Etats-Unis</v>
      </c>
      <c r="C1868" s="2">
        <v>13117</v>
      </c>
      <c r="D1868" s="2">
        <v>40215060</v>
      </c>
    </row>
    <row r="1869" spans="1:4" s="6" customFormat="1" x14ac:dyDescent="0.25">
      <c r="B1869" s="6" t="str">
        <f>T("   Total Monde")</f>
        <v xml:space="preserve">   Total Monde</v>
      </c>
      <c r="C1869" s="1">
        <v>13117</v>
      </c>
      <c r="D1869" s="1">
        <v>40215060</v>
      </c>
    </row>
    <row r="1870" spans="1:4" s="6" customFormat="1" x14ac:dyDescent="0.25">
      <c r="A1870" s="6" t="str">
        <f>T("843139")</f>
        <v>843139</v>
      </c>
      <c r="B1870" s="6" t="str">
        <f>T("AUTRES")</f>
        <v>AUTRES</v>
      </c>
      <c r="C1870" s="1"/>
      <c r="D1870" s="1"/>
    </row>
    <row r="1871" spans="1:4" x14ac:dyDescent="0.25">
      <c r="B1871" t="str">
        <f>T("   Belgique")</f>
        <v xml:space="preserve">   Belgique</v>
      </c>
      <c r="C1871" s="2">
        <v>66</v>
      </c>
      <c r="D1871" s="2">
        <v>2146478</v>
      </c>
    </row>
    <row r="1872" spans="1:4" x14ac:dyDescent="0.25">
      <c r="B1872" t="str">
        <f>T("   Chypre")</f>
        <v xml:space="preserve">   Chypre</v>
      </c>
      <c r="C1872" s="2">
        <v>20</v>
      </c>
      <c r="D1872" s="2">
        <v>139064</v>
      </c>
    </row>
    <row r="1873" spans="1:4" x14ac:dyDescent="0.25">
      <c r="B1873" t="str">
        <f>T("   Allemagne")</f>
        <v xml:space="preserve">   Allemagne</v>
      </c>
      <c r="C1873" s="2">
        <v>10</v>
      </c>
      <c r="D1873" s="2">
        <v>187933</v>
      </c>
    </row>
    <row r="1874" spans="1:4" x14ac:dyDescent="0.25">
      <c r="B1874" t="str">
        <f>T("   Danemark")</f>
        <v xml:space="preserve">   Danemark</v>
      </c>
      <c r="C1874" s="2">
        <v>271.3</v>
      </c>
      <c r="D1874" s="2">
        <v>11787877</v>
      </c>
    </row>
    <row r="1875" spans="1:4" x14ac:dyDescent="0.25">
      <c r="B1875" t="str">
        <f>T("   France")</f>
        <v xml:space="preserve">   France</v>
      </c>
      <c r="C1875" s="2">
        <v>18516</v>
      </c>
      <c r="D1875" s="2">
        <v>45845470</v>
      </c>
    </row>
    <row r="1876" spans="1:4" x14ac:dyDescent="0.25">
      <c r="B1876" t="str">
        <f>T("   Gabon")</f>
        <v xml:space="preserve">   Gabon</v>
      </c>
      <c r="C1876" s="2">
        <v>70</v>
      </c>
      <c r="D1876" s="2">
        <v>4891097</v>
      </c>
    </row>
    <row r="1877" spans="1:4" x14ac:dyDescent="0.25">
      <c r="B1877" t="str">
        <f>T("   Ghana")</f>
        <v xml:space="preserve">   Ghana</v>
      </c>
      <c r="C1877" s="2">
        <v>90495</v>
      </c>
      <c r="D1877" s="2">
        <v>113407266</v>
      </c>
    </row>
    <row r="1878" spans="1:4" x14ac:dyDescent="0.25">
      <c r="B1878" t="str">
        <f>T("   Japon")</f>
        <v xml:space="preserve">   Japon</v>
      </c>
      <c r="C1878" s="2">
        <v>16</v>
      </c>
      <c r="D1878" s="2">
        <v>2888470</v>
      </c>
    </row>
    <row r="1879" spans="1:4" x14ac:dyDescent="0.25">
      <c r="B1879" t="str">
        <f>T("   Pays-bas")</f>
        <v xml:space="preserve">   Pays-bas</v>
      </c>
      <c r="C1879" s="2">
        <v>19540.45</v>
      </c>
      <c r="D1879" s="2">
        <v>48383406</v>
      </c>
    </row>
    <row r="1880" spans="1:4" x14ac:dyDescent="0.25">
      <c r="B1880" t="str">
        <f>T("   Turquie")</f>
        <v xml:space="preserve">   Turquie</v>
      </c>
      <c r="C1880" s="2">
        <v>2825</v>
      </c>
      <c r="D1880" s="2">
        <v>497896</v>
      </c>
    </row>
    <row r="1881" spans="1:4" s="6" customFormat="1" x14ac:dyDescent="0.25">
      <c r="B1881" s="6" t="str">
        <f>T("   Total Monde")</f>
        <v xml:space="preserve">   Total Monde</v>
      </c>
      <c r="C1881" s="1">
        <v>131829.75</v>
      </c>
      <c r="D1881" s="1">
        <v>230174957</v>
      </c>
    </row>
    <row r="1882" spans="1:4" s="6" customFormat="1" x14ac:dyDescent="0.25">
      <c r="A1882" s="6" t="str">
        <f>T("843141")</f>
        <v>843141</v>
      </c>
      <c r="B1882" s="6" t="str">
        <f>T("GODETS, BENNES, BENNESPRENEUSES, PELLES, GRAPPINS ET PINCES")</f>
        <v>GODETS, BENNES, BENNESPRENEUSES, PELLES, GRAPPINS ET PINCES</v>
      </c>
      <c r="C1882" s="1"/>
      <c r="D1882" s="1"/>
    </row>
    <row r="1883" spans="1:4" x14ac:dyDescent="0.25">
      <c r="B1883" t="str">
        <f>T("   Belgique")</f>
        <v xml:space="preserve">   Belgique</v>
      </c>
      <c r="C1883" s="2">
        <v>6460</v>
      </c>
      <c r="D1883" s="2">
        <v>14167096</v>
      </c>
    </row>
    <row r="1884" spans="1:4" x14ac:dyDescent="0.25">
      <c r="B1884" t="str">
        <f>T("   France")</f>
        <v xml:space="preserve">   France</v>
      </c>
      <c r="C1884" s="2">
        <v>262008</v>
      </c>
      <c r="D1884" s="2">
        <v>758461724</v>
      </c>
    </row>
    <row r="1885" spans="1:4" x14ac:dyDescent="0.25">
      <c r="B1885" t="str">
        <f>T("   Mali")</f>
        <v xml:space="preserve">   Mali</v>
      </c>
      <c r="C1885" s="2">
        <v>45075</v>
      </c>
      <c r="D1885" s="2">
        <v>126041402</v>
      </c>
    </row>
    <row r="1886" spans="1:4" x14ac:dyDescent="0.25">
      <c r="B1886" t="str">
        <f>T("   Pays-bas")</f>
        <v xml:space="preserve">   Pays-bas</v>
      </c>
      <c r="C1886" s="2">
        <v>41250</v>
      </c>
      <c r="D1886" s="2">
        <v>162483916</v>
      </c>
    </row>
    <row r="1887" spans="1:4" s="6" customFormat="1" x14ac:dyDescent="0.25">
      <c r="B1887" s="6" t="str">
        <f>T("   Total Monde")</f>
        <v xml:space="preserve">   Total Monde</v>
      </c>
      <c r="C1887" s="1">
        <v>354793</v>
      </c>
      <c r="D1887" s="1">
        <v>1061154138</v>
      </c>
    </row>
    <row r="1888" spans="1:4" s="6" customFormat="1" x14ac:dyDescent="0.25">
      <c r="A1888" s="6" t="str">
        <f>T("843143")</f>
        <v>843143</v>
      </c>
      <c r="B1888" s="6" t="str">
        <f>T("PARTIES DE MACHINES DE SONDAGE OU DE FORAGE DES N°S 8430.41 OU 8430.49")</f>
        <v>PARTIES DE MACHINES DE SONDAGE OU DE FORAGE DES N°S 8430.41 OU 8430.49</v>
      </c>
      <c r="C1888" s="1"/>
      <c r="D1888" s="1"/>
    </row>
    <row r="1889" spans="1:4" x14ac:dyDescent="0.25">
      <c r="B1889" t="str">
        <f>T("   Emirats Arabes Unis")</f>
        <v xml:space="preserve">   Emirats Arabes Unis</v>
      </c>
      <c r="C1889" s="2">
        <v>13834</v>
      </c>
      <c r="D1889" s="2">
        <v>109039224</v>
      </c>
    </row>
    <row r="1890" spans="1:4" x14ac:dyDescent="0.25">
      <c r="B1890" t="str">
        <f>T("   Congo (Brazzaville)")</f>
        <v xml:space="preserve">   Congo (Brazzaville)</v>
      </c>
      <c r="C1890" s="2">
        <v>3450</v>
      </c>
      <c r="D1890" s="2">
        <v>9334311</v>
      </c>
    </row>
    <row r="1891" spans="1:4" x14ac:dyDescent="0.25">
      <c r="B1891" t="str">
        <f>T("   Côte d'Ivoire")</f>
        <v xml:space="preserve">   Côte d'Ivoire</v>
      </c>
      <c r="C1891" s="2">
        <v>600</v>
      </c>
      <c r="D1891" s="2">
        <v>75335038</v>
      </c>
    </row>
    <row r="1892" spans="1:4" x14ac:dyDescent="0.25">
      <c r="B1892" t="str">
        <f>T("   Allemagne")</f>
        <v xml:space="preserve">   Allemagne</v>
      </c>
      <c r="C1892" s="2">
        <v>90.2</v>
      </c>
      <c r="D1892" s="2">
        <v>6536484</v>
      </c>
    </row>
    <row r="1893" spans="1:4" x14ac:dyDescent="0.25">
      <c r="B1893" t="str">
        <f>T("   France")</f>
        <v xml:space="preserve">   France</v>
      </c>
      <c r="C1893" s="2">
        <v>44884</v>
      </c>
      <c r="D1893" s="2">
        <v>297890738</v>
      </c>
    </row>
    <row r="1894" spans="1:4" x14ac:dyDescent="0.25">
      <c r="B1894" t="str">
        <f>T("   Gabon")</f>
        <v xml:space="preserve">   Gabon</v>
      </c>
      <c r="C1894" s="2">
        <v>387878</v>
      </c>
      <c r="D1894" s="2">
        <v>9718215659</v>
      </c>
    </row>
    <row r="1895" spans="1:4" x14ac:dyDescent="0.25">
      <c r="B1895" t="str">
        <f>T("   Royaume-Uni")</f>
        <v xml:space="preserve">   Royaume-Uni</v>
      </c>
      <c r="C1895" s="2">
        <v>41500</v>
      </c>
      <c r="D1895" s="2">
        <v>15569208</v>
      </c>
    </row>
    <row r="1896" spans="1:4" x14ac:dyDescent="0.25">
      <c r="B1896" t="str">
        <f>T("   Ghana")</f>
        <v xml:space="preserve">   Ghana</v>
      </c>
      <c r="C1896" s="2">
        <v>464172</v>
      </c>
      <c r="D1896" s="2">
        <v>5072108312</v>
      </c>
    </row>
    <row r="1897" spans="1:4" x14ac:dyDescent="0.25">
      <c r="B1897" t="str">
        <f>T("   Nigéria")</f>
        <v xml:space="preserve">   Nigéria</v>
      </c>
      <c r="C1897" s="2">
        <v>12596</v>
      </c>
      <c r="D1897" s="2">
        <v>56964784</v>
      </c>
    </row>
    <row r="1898" spans="1:4" x14ac:dyDescent="0.25">
      <c r="B1898" t="str">
        <f>T("   Pays-bas")</f>
        <v xml:space="preserve">   Pays-bas</v>
      </c>
      <c r="C1898" s="2">
        <v>49010</v>
      </c>
      <c r="D1898" s="2">
        <v>731395400</v>
      </c>
    </row>
    <row r="1899" spans="1:4" x14ac:dyDescent="0.25">
      <c r="B1899" t="str">
        <f>T("   Norvège")</f>
        <v xml:space="preserve">   Norvège</v>
      </c>
      <c r="C1899" s="2">
        <v>376</v>
      </c>
      <c r="D1899" s="2">
        <v>76275029</v>
      </c>
    </row>
    <row r="1900" spans="1:4" x14ac:dyDescent="0.25">
      <c r="B1900" t="str">
        <f>T("   Turquie")</f>
        <v xml:space="preserve">   Turquie</v>
      </c>
      <c r="C1900" s="2">
        <v>2064250</v>
      </c>
      <c r="D1900" s="2">
        <v>11199334409</v>
      </c>
    </row>
    <row r="1901" spans="1:4" x14ac:dyDescent="0.25">
      <c r="B1901" t="str">
        <f>T("   Ukraine")</f>
        <v xml:space="preserve">   Ukraine</v>
      </c>
      <c r="C1901" s="2">
        <v>2</v>
      </c>
      <c r="D1901" s="2">
        <v>531753</v>
      </c>
    </row>
    <row r="1902" spans="1:4" x14ac:dyDescent="0.25">
      <c r="B1902" t="str">
        <f>T("   Etats-Unis")</f>
        <v xml:space="preserve">   Etats-Unis</v>
      </c>
      <c r="C1902" s="2">
        <v>295680</v>
      </c>
      <c r="D1902" s="2">
        <v>2549336549</v>
      </c>
    </row>
    <row r="1903" spans="1:4" s="6" customFormat="1" x14ac:dyDescent="0.25">
      <c r="B1903" s="6" t="str">
        <f>T("   Total Monde")</f>
        <v xml:space="preserve">   Total Monde</v>
      </c>
      <c r="C1903" s="1">
        <v>3378322.2</v>
      </c>
      <c r="D1903" s="1">
        <v>29917866898</v>
      </c>
    </row>
    <row r="1904" spans="1:4" s="6" customFormat="1" x14ac:dyDescent="0.25">
      <c r="A1904" s="6" t="str">
        <f>T("843149")</f>
        <v>843149</v>
      </c>
      <c r="B1904" s="6" t="str">
        <f>T("AUTRES")</f>
        <v>AUTRES</v>
      </c>
      <c r="C1904" s="1"/>
      <c r="D1904" s="1"/>
    </row>
    <row r="1905" spans="1:4" x14ac:dyDescent="0.25">
      <c r="B1905" t="str">
        <f>T("   Belgique")</f>
        <v xml:space="preserve">   Belgique</v>
      </c>
      <c r="C1905" s="2">
        <v>38454</v>
      </c>
      <c r="D1905" s="2">
        <v>161704576</v>
      </c>
    </row>
    <row r="1906" spans="1:4" x14ac:dyDescent="0.25">
      <c r="B1906" t="str">
        <f>T("   Côte d'Ivoire")</f>
        <v xml:space="preserve">   Côte d'Ivoire</v>
      </c>
      <c r="C1906" s="2">
        <v>2640</v>
      </c>
      <c r="D1906" s="2">
        <v>2080775</v>
      </c>
    </row>
    <row r="1907" spans="1:4" x14ac:dyDescent="0.25">
      <c r="B1907" t="str">
        <f>T("   Cameroun")</f>
        <v xml:space="preserve">   Cameroun</v>
      </c>
      <c r="C1907" s="2">
        <v>500</v>
      </c>
      <c r="D1907" s="2">
        <v>2078945</v>
      </c>
    </row>
    <row r="1908" spans="1:4" x14ac:dyDescent="0.25">
      <c r="B1908" t="str">
        <f>T("   Allemagne")</f>
        <v xml:space="preserve">   Allemagne</v>
      </c>
      <c r="C1908" s="2">
        <v>16490</v>
      </c>
      <c r="D1908" s="2">
        <v>22589834</v>
      </c>
    </row>
    <row r="1909" spans="1:4" x14ac:dyDescent="0.25">
      <c r="B1909" t="str">
        <f>T("   France")</f>
        <v xml:space="preserve">   France</v>
      </c>
      <c r="C1909" s="2">
        <v>353945</v>
      </c>
      <c r="D1909" s="2">
        <v>1352167657</v>
      </c>
    </row>
    <row r="1910" spans="1:4" x14ac:dyDescent="0.25">
      <c r="B1910" t="str">
        <f>T("   Gabon")</f>
        <v xml:space="preserve">   Gabon</v>
      </c>
      <c r="C1910" s="2">
        <v>115448</v>
      </c>
      <c r="D1910" s="2">
        <v>1002238795</v>
      </c>
    </row>
    <row r="1911" spans="1:4" x14ac:dyDescent="0.25">
      <c r="B1911" t="str">
        <f>T("   Royaume-Uni")</f>
        <v xml:space="preserve">   Royaume-Uni</v>
      </c>
      <c r="C1911" s="2">
        <v>1055</v>
      </c>
      <c r="D1911" s="2">
        <v>24465431</v>
      </c>
    </row>
    <row r="1912" spans="1:4" x14ac:dyDescent="0.25">
      <c r="B1912" t="str">
        <f>T("   Ghana")</f>
        <v xml:space="preserve">   Ghana</v>
      </c>
      <c r="C1912" s="2">
        <v>289815</v>
      </c>
      <c r="D1912" s="2">
        <v>1746594312</v>
      </c>
    </row>
    <row r="1913" spans="1:4" x14ac:dyDescent="0.25">
      <c r="B1913" t="str">
        <f>T("   Italie")</f>
        <v xml:space="preserve">   Italie</v>
      </c>
      <c r="C1913" s="2">
        <v>164</v>
      </c>
      <c r="D1913" s="2">
        <v>19679</v>
      </c>
    </row>
    <row r="1914" spans="1:4" x14ac:dyDescent="0.25">
      <c r="B1914" t="str">
        <f>T("   Pays-bas")</f>
        <v xml:space="preserve">   Pays-bas</v>
      </c>
      <c r="C1914" s="2">
        <v>130485</v>
      </c>
      <c r="D1914" s="2">
        <v>694971539</v>
      </c>
    </row>
    <row r="1915" spans="1:4" x14ac:dyDescent="0.25">
      <c r="B1915" t="str">
        <f>T("   Norvège")</f>
        <v xml:space="preserve">   Norvège</v>
      </c>
      <c r="C1915" s="2">
        <v>239</v>
      </c>
      <c r="D1915" s="2">
        <v>20190360</v>
      </c>
    </row>
    <row r="1916" spans="1:4" x14ac:dyDescent="0.25">
      <c r="B1916" t="str">
        <f>T("   Etats-Unis")</f>
        <v xml:space="preserve">   Etats-Unis</v>
      </c>
      <c r="C1916" s="2">
        <v>518</v>
      </c>
      <c r="D1916" s="2">
        <v>954305</v>
      </c>
    </row>
    <row r="1917" spans="1:4" s="6" customFormat="1" x14ac:dyDescent="0.25">
      <c r="B1917" s="6" t="str">
        <f>T("   Total Monde")</f>
        <v xml:space="preserve">   Total Monde</v>
      </c>
      <c r="C1917" s="1">
        <v>949753</v>
      </c>
      <c r="D1917" s="1">
        <v>5030056208</v>
      </c>
    </row>
    <row r="1918" spans="1:4" s="6" customFormat="1" x14ac:dyDescent="0.25">
      <c r="A1918" s="6" t="str">
        <f>T("843280")</f>
        <v>843280</v>
      </c>
      <c r="B1918" s="6" t="str">
        <f>T("AUTRES MACHINES, APPAREILS ET ENGINS")</f>
        <v>AUTRES MACHINES, APPAREILS ET ENGINS</v>
      </c>
      <c r="C1918" s="1"/>
      <c r="D1918" s="1"/>
    </row>
    <row r="1919" spans="1:4" x14ac:dyDescent="0.25">
      <c r="B1919" t="str">
        <f>T("   Côte d'Ivoire")</f>
        <v xml:space="preserve">   Côte d'Ivoire</v>
      </c>
      <c r="C1919" s="2">
        <v>20000</v>
      </c>
      <c r="D1919" s="2">
        <v>5000000</v>
      </c>
    </row>
    <row r="1920" spans="1:4" s="6" customFormat="1" x14ac:dyDescent="0.25">
      <c r="B1920" s="6" t="str">
        <f>T("   Total Monde")</f>
        <v xml:space="preserve">   Total Monde</v>
      </c>
      <c r="C1920" s="1">
        <v>20000</v>
      </c>
      <c r="D1920" s="1">
        <v>5000000</v>
      </c>
    </row>
    <row r="1921" spans="1:4" s="6" customFormat="1" x14ac:dyDescent="0.25">
      <c r="A1921" s="6" t="str">
        <f>T("843510")</f>
        <v>843510</v>
      </c>
      <c r="B1921" s="6" t="str">
        <f>T("MACHINES ET APPAREILS")</f>
        <v>MACHINES ET APPAREILS</v>
      </c>
      <c r="C1921" s="1"/>
      <c r="D1921" s="1"/>
    </row>
    <row r="1922" spans="1:4" x14ac:dyDescent="0.25">
      <c r="B1922" t="str">
        <f>T("   Gabon")</f>
        <v xml:space="preserve">   Gabon</v>
      </c>
      <c r="C1922" s="2">
        <v>29</v>
      </c>
      <c r="D1922" s="2">
        <v>1638617</v>
      </c>
    </row>
    <row r="1923" spans="1:4" s="6" customFormat="1" x14ac:dyDescent="0.25">
      <c r="B1923" s="6" t="str">
        <f>T("   Total Monde")</f>
        <v xml:space="preserve">   Total Monde</v>
      </c>
      <c r="C1923" s="1">
        <v>29</v>
      </c>
      <c r="D1923" s="1">
        <v>1638617</v>
      </c>
    </row>
    <row r="1924" spans="1:4" s="6" customFormat="1" x14ac:dyDescent="0.25">
      <c r="A1924" s="6" t="str">
        <f>T("843840")</f>
        <v>843840</v>
      </c>
      <c r="B1924" s="6" t="str">
        <f>T("Machines et appareils pour la brasserie")</f>
        <v>Machines et appareils pour la brasserie</v>
      </c>
      <c r="C1924" s="1"/>
      <c r="D1924" s="1"/>
    </row>
    <row r="1925" spans="1:4" x14ac:dyDescent="0.25">
      <c r="B1925" t="str">
        <f>T("   Cameroun")</f>
        <v xml:space="preserve">   Cameroun</v>
      </c>
      <c r="C1925" s="2">
        <v>2664</v>
      </c>
      <c r="D1925" s="2">
        <v>64841413</v>
      </c>
    </row>
    <row r="1926" spans="1:4" s="6" customFormat="1" x14ac:dyDescent="0.25">
      <c r="B1926" s="6" t="str">
        <f>T("   Total Monde")</f>
        <v xml:space="preserve">   Total Monde</v>
      </c>
      <c r="C1926" s="1">
        <v>2664</v>
      </c>
      <c r="D1926" s="1">
        <v>64841413</v>
      </c>
    </row>
    <row r="1927" spans="1:4" s="6" customFormat="1" x14ac:dyDescent="0.25">
      <c r="A1927" s="6" t="str">
        <f>T("844339")</f>
        <v>844339</v>
      </c>
      <c r="B1927" s="6" t="str">
        <f>T("AUTRES")</f>
        <v>AUTRES</v>
      </c>
      <c r="C1927" s="1"/>
      <c r="D1927" s="1"/>
    </row>
    <row r="1928" spans="1:4" x14ac:dyDescent="0.25">
      <c r="B1928" t="str">
        <f>T("   Congo (Brazzaville)")</f>
        <v xml:space="preserve">   Congo (Brazzaville)</v>
      </c>
      <c r="C1928" s="2">
        <v>7000</v>
      </c>
      <c r="D1928" s="2">
        <v>8000000</v>
      </c>
    </row>
    <row r="1929" spans="1:4" s="6" customFormat="1" x14ac:dyDescent="0.25">
      <c r="B1929" s="6" t="str">
        <f>T("   Total Monde")</f>
        <v xml:space="preserve">   Total Monde</v>
      </c>
      <c r="C1929" s="1">
        <v>7000</v>
      </c>
      <c r="D1929" s="1">
        <v>8000000</v>
      </c>
    </row>
    <row r="1930" spans="1:4" s="6" customFormat="1" x14ac:dyDescent="0.25">
      <c r="A1930" s="6" t="str">
        <f>T("845180")</f>
        <v>845180</v>
      </c>
      <c r="B1930" s="6" t="str">
        <f>T("AUTRES MACHINES ET APPAREILS")</f>
        <v>AUTRES MACHINES ET APPAREILS</v>
      </c>
      <c r="C1930" s="1"/>
      <c r="D1930" s="1"/>
    </row>
    <row r="1931" spans="1:4" x14ac:dyDescent="0.25">
      <c r="B1931" t="str">
        <f>T("   Allemagne")</f>
        <v xml:space="preserve">   Allemagne</v>
      </c>
      <c r="C1931" s="2">
        <v>6540</v>
      </c>
      <c r="D1931" s="2">
        <v>60969514</v>
      </c>
    </row>
    <row r="1932" spans="1:4" s="6" customFormat="1" x14ac:dyDescent="0.25">
      <c r="B1932" s="6" t="str">
        <f>T("   Total Monde")</f>
        <v xml:space="preserve">   Total Monde</v>
      </c>
      <c r="C1932" s="1">
        <v>6540</v>
      </c>
      <c r="D1932" s="1">
        <v>60969514</v>
      </c>
    </row>
    <row r="1933" spans="1:4" s="6" customFormat="1" x14ac:dyDescent="0.25">
      <c r="A1933" s="6" t="str">
        <f>T("845899")</f>
        <v>845899</v>
      </c>
      <c r="B1933" s="6" t="str">
        <f>T("AUTRES")</f>
        <v>AUTRES</v>
      </c>
      <c r="C1933" s="1"/>
      <c r="D1933" s="1"/>
    </row>
    <row r="1934" spans="1:4" x14ac:dyDescent="0.25">
      <c r="B1934" t="str">
        <f>T("   Togo")</f>
        <v xml:space="preserve">   Togo</v>
      </c>
      <c r="C1934" s="2">
        <v>10000</v>
      </c>
      <c r="D1934" s="2">
        <v>4107642</v>
      </c>
    </row>
    <row r="1935" spans="1:4" s="6" customFormat="1" x14ac:dyDescent="0.25">
      <c r="B1935" s="6" t="str">
        <f>T("   Total Monde")</f>
        <v xml:space="preserve">   Total Monde</v>
      </c>
      <c r="C1935" s="1">
        <v>10000</v>
      </c>
      <c r="D1935" s="1">
        <v>4107642</v>
      </c>
    </row>
    <row r="1936" spans="1:4" s="6" customFormat="1" x14ac:dyDescent="0.25">
      <c r="A1936" s="6" t="str">
        <f>T("846190")</f>
        <v>846190</v>
      </c>
      <c r="B1936" s="6" t="str">
        <f>T("AUTRES")</f>
        <v>AUTRES</v>
      </c>
      <c r="C1936" s="1"/>
      <c r="D1936" s="1"/>
    </row>
    <row r="1937" spans="1:4" x14ac:dyDescent="0.25">
      <c r="B1937" t="str">
        <f>T("   Togo")</f>
        <v xml:space="preserve">   Togo</v>
      </c>
      <c r="C1937" s="2">
        <v>590</v>
      </c>
      <c r="D1937" s="2">
        <v>921108</v>
      </c>
    </row>
    <row r="1938" spans="1:4" s="6" customFormat="1" x14ac:dyDescent="0.25">
      <c r="B1938" s="6" t="str">
        <f>T("   Total Monde")</f>
        <v xml:space="preserve">   Total Monde</v>
      </c>
      <c r="C1938" s="1">
        <v>590</v>
      </c>
      <c r="D1938" s="1">
        <v>921108</v>
      </c>
    </row>
    <row r="1939" spans="1:4" s="6" customFormat="1" x14ac:dyDescent="0.25">
      <c r="A1939" s="6" t="str">
        <f>T("846291")</f>
        <v>846291</v>
      </c>
      <c r="B1939" s="6" t="str">
        <f>T("PRESSES HYDRAULIQUES")</f>
        <v>PRESSES HYDRAULIQUES</v>
      </c>
      <c r="C1939" s="1"/>
      <c r="D1939" s="1"/>
    </row>
    <row r="1940" spans="1:4" x14ac:dyDescent="0.25">
      <c r="B1940" t="str">
        <f>T("   Ghana")</f>
        <v xml:space="preserve">   Ghana</v>
      </c>
      <c r="C1940" s="2">
        <v>12000</v>
      </c>
      <c r="D1940" s="2">
        <v>19174000</v>
      </c>
    </row>
    <row r="1941" spans="1:4" x14ac:dyDescent="0.25">
      <c r="B1941" t="str">
        <f>T("   Togo")</f>
        <v xml:space="preserve">   Togo</v>
      </c>
      <c r="C1941" s="2">
        <v>7960</v>
      </c>
      <c r="D1941" s="2">
        <v>1568372</v>
      </c>
    </row>
    <row r="1942" spans="1:4" s="6" customFormat="1" x14ac:dyDescent="0.25">
      <c r="B1942" s="6" t="str">
        <f>T("   Total Monde")</f>
        <v xml:space="preserve">   Total Monde</v>
      </c>
      <c r="C1942" s="1">
        <v>19960</v>
      </c>
      <c r="D1942" s="1">
        <v>20742372</v>
      </c>
    </row>
    <row r="1943" spans="1:4" s="6" customFormat="1" x14ac:dyDescent="0.25">
      <c r="A1943" s="6" t="str">
        <f>T("846410")</f>
        <v>846410</v>
      </c>
      <c r="B1943" s="6" t="str">
        <f>T("MACHINES A SCIER")</f>
        <v>MACHINES A SCIER</v>
      </c>
      <c r="C1943" s="1"/>
      <c r="D1943" s="1"/>
    </row>
    <row r="1944" spans="1:4" x14ac:dyDescent="0.25">
      <c r="B1944" t="str">
        <f>T("   Togo")</f>
        <v xml:space="preserve">   Togo</v>
      </c>
      <c r="C1944" s="2">
        <v>894</v>
      </c>
      <c r="D1944" s="2">
        <v>9923554</v>
      </c>
    </row>
    <row r="1945" spans="1:4" s="6" customFormat="1" x14ac:dyDescent="0.25">
      <c r="B1945" s="6" t="str">
        <f>T("   Total Monde")</f>
        <v xml:space="preserve">   Total Monde</v>
      </c>
      <c r="C1945" s="1">
        <v>894</v>
      </c>
      <c r="D1945" s="1">
        <v>9923554</v>
      </c>
    </row>
    <row r="1946" spans="1:4" s="6" customFormat="1" x14ac:dyDescent="0.25">
      <c r="A1946" s="6" t="str">
        <f>T("846692")</f>
        <v>846692</v>
      </c>
      <c r="B1946" s="6" t="str">
        <f>T("POUR MACHINES DU N° 84.65")</f>
        <v>POUR MACHINES DU N° 84.65</v>
      </c>
      <c r="C1946" s="1"/>
      <c r="D1946" s="1"/>
    </row>
    <row r="1947" spans="1:4" x14ac:dyDescent="0.25">
      <c r="B1947" t="str">
        <f>T("   Soudan")</f>
        <v xml:space="preserve">   Soudan</v>
      </c>
      <c r="C1947" s="2">
        <v>15000</v>
      </c>
      <c r="D1947" s="2">
        <v>2000000</v>
      </c>
    </row>
    <row r="1948" spans="1:4" s="6" customFormat="1" x14ac:dyDescent="0.25">
      <c r="B1948" s="6" t="str">
        <f>T("   Total Monde")</f>
        <v xml:space="preserve">   Total Monde</v>
      </c>
      <c r="C1948" s="1">
        <v>15000</v>
      </c>
      <c r="D1948" s="1">
        <v>2000000</v>
      </c>
    </row>
    <row r="1949" spans="1:4" s="6" customFormat="1" x14ac:dyDescent="0.25">
      <c r="A1949" s="6" t="str">
        <f>T("846880")</f>
        <v>846880</v>
      </c>
      <c r="B1949" s="6" t="str">
        <f>T("AUTRES MACHINES ET APPAREILS")</f>
        <v>AUTRES MACHINES ET APPAREILS</v>
      </c>
      <c r="C1949" s="1"/>
      <c r="D1949" s="1"/>
    </row>
    <row r="1950" spans="1:4" x14ac:dyDescent="0.25">
      <c r="B1950" t="str">
        <f>T("   Togo")</f>
        <v xml:space="preserve">   Togo</v>
      </c>
      <c r="C1950" s="2">
        <v>700</v>
      </c>
      <c r="D1950" s="2">
        <v>5078540</v>
      </c>
    </row>
    <row r="1951" spans="1:4" s="6" customFormat="1" x14ac:dyDescent="0.25">
      <c r="B1951" s="6" t="str">
        <f>T("   Total Monde")</f>
        <v xml:space="preserve">   Total Monde</v>
      </c>
      <c r="C1951" s="1">
        <v>700</v>
      </c>
      <c r="D1951" s="1">
        <v>5078540</v>
      </c>
    </row>
    <row r="1952" spans="1:4" s="6" customFormat="1" x14ac:dyDescent="0.25">
      <c r="A1952" s="6" t="str">
        <f>T("847130")</f>
        <v>847130</v>
      </c>
      <c r="B1952" s="6" t="str">
        <f>T("MACHINES AUTOMATIQUES DE TRAITEMENT DE L'INFORMATION PORTATIVES, D'UN POIDS N'EXCEDAN")</f>
        <v>MACHINES AUTOMATIQUES DE TRAITEMENT DE L'INFORMATION PORTATIVES, D'UN POIDS N'EXCEDAN</v>
      </c>
      <c r="C1952" s="1"/>
      <c r="D1952" s="1"/>
    </row>
    <row r="1953" spans="1:4" x14ac:dyDescent="0.25">
      <c r="B1953" t="str">
        <f>T("   Emirats Arabes Unis")</f>
        <v xml:space="preserve">   Emirats Arabes Unis</v>
      </c>
      <c r="C1953" s="2">
        <v>6</v>
      </c>
      <c r="D1953" s="2">
        <v>497896</v>
      </c>
    </row>
    <row r="1954" spans="1:4" s="6" customFormat="1" x14ac:dyDescent="0.25">
      <c r="B1954" s="6" t="str">
        <f>T("   Total Monde")</f>
        <v xml:space="preserve">   Total Monde</v>
      </c>
      <c r="C1954" s="1">
        <v>6</v>
      </c>
      <c r="D1954" s="1">
        <v>497896</v>
      </c>
    </row>
    <row r="1955" spans="1:4" s="6" customFormat="1" x14ac:dyDescent="0.25">
      <c r="A1955" s="6" t="str">
        <f>T("847149")</f>
        <v>847149</v>
      </c>
      <c r="B1955" s="6" t="str">
        <f>T("AUTRES, SE PRESENTANT SOUS FORME DE SYSTEMES")</f>
        <v>AUTRES, SE PRESENTANT SOUS FORME DE SYSTEMES</v>
      </c>
      <c r="C1955" s="1"/>
      <c r="D1955" s="1"/>
    </row>
    <row r="1956" spans="1:4" x14ac:dyDescent="0.25">
      <c r="B1956" t="str">
        <f>T("   Côte d'Ivoire")</f>
        <v xml:space="preserve">   Côte d'Ivoire</v>
      </c>
      <c r="C1956" s="2">
        <v>91</v>
      </c>
      <c r="D1956" s="2">
        <v>500000</v>
      </c>
    </row>
    <row r="1957" spans="1:4" s="6" customFormat="1" x14ac:dyDescent="0.25">
      <c r="B1957" s="6" t="str">
        <f>T("   Total Monde")</f>
        <v xml:space="preserve">   Total Monde</v>
      </c>
      <c r="C1957" s="1">
        <v>91</v>
      </c>
      <c r="D1957" s="1">
        <v>500000</v>
      </c>
    </row>
    <row r="1958" spans="1:4" s="6" customFormat="1" x14ac:dyDescent="0.25">
      <c r="A1958" s="6" t="str">
        <f>T("847150")</f>
        <v>847150</v>
      </c>
      <c r="B1958" s="6" t="str">
        <f>T("UNITES DE TRAITEMENT AUTRES QUE CELLES DES N°S 8471.41 OU 8471.49, POUVANT COMPORTER,")</f>
        <v>UNITES DE TRAITEMENT AUTRES QUE CELLES DES N°S 8471.41 OU 8471.49, POUVANT COMPORTER,</v>
      </c>
      <c r="C1958" s="1"/>
      <c r="D1958" s="1"/>
    </row>
    <row r="1959" spans="1:4" x14ac:dyDescent="0.25">
      <c r="B1959" t="str">
        <f>T("   Royaume-Uni")</f>
        <v xml:space="preserve">   Royaume-Uni</v>
      </c>
      <c r="C1959" s="2">
        <v>243</v>
      </c>
      <c r="D1959" s="2">
        <v>3604767</v>
      </c>
    </row>
    <row r="1960" spans="1:4" s="6" customFormat="1" x14ac:dyDescent="0.25">
      <c r="B1960" s="6" t="str">
        <f>T("   Total Monde")</f>
        <v xml:space="preserve">   Total Monde</v>
      </c>
      <c r="C1960" s="1">
        <v>243</v>
      </c>
      <c r="D1960" s="1">
        <v>3604767</v>
      </c>
    </row>
    <row r="1961" spans="1:4" s="6" customFormat="1" x14ac:dyDescent="0.25">
      <c r="A1961" s="6" t="str">
        <f>T("847160")</f>
        <v>847160</v>
      </c>
      <c r="B1961" s="6" t="str">
        <f>T("UNITES D'ENTREE OU DE SORTIE, POUVANT COMPORTER, SOUS LA MEME ENVELOPPE, DES UNITES D")</f>
        <v>UNITES D'ENTREE OU DE SORTIE, POUVANT COMPORTER, SOUS LA MEME ENVELOPPE, DES UNITES D</v>
      </c>
      <c r="C1961" s="1"/>
      <c r="D1961" s="1"/>
    </row>
    <row r="1962" spans="1:4" x14ac:dyDescent="0.25">
      <c r="B1962" t="str">
        <f>T("   Gabon")</f>
        <v xml:space="preserve">   Gabon</v>
      </c>
      <c r="C1962" s="2">
        <v>5</v>
      </c>
      <c r="D1962" s="2">
        <v>275987</v>
      </c>
    </row>
    <row r="1963" spans="1:4" s="6" customFormat="1" x14ac:dyDescent="0.25">
      <c r="B1963" s="6" t="str">
        <f>T("   Total Monde")</f>
        <v xml:space="preserve">   Total Monde</v>
      </c>
      <c r="C1963" s="1">
        <v>5</v>
      </c>
      <c r="D1963" s="1">
        <v>275987</v>
      </c>
    </row>
    <row r="1964" spans="1:4" s="6" customFormat="1" x14ac:dyDescent="0.25">
      <c r="A1964" s="6" t="str">
        <f>T("847170")</f>
        <v>847170</v>
      </c>
      <c r="B1964" s="6" t="str">
        <f>T("UNITES DE MEMOIRE")</f>
        <v>UNITES DE MEMOIRE</v>
      </c>
      <c r="C1964" s="1"/>
      <c r="D1964" s="1"/>
    </row>
    <row r="1965" spans="1:4" x14ac:dyDescent="0.25">
      <c r="B1965" t="str">
        <f>T("   Gabon")</f>
        <v xml:space="preserve">   Gabon</v>
      </c>
      <c r="C1965" s="2">
        <v>12</v>
      </c>
      <c r="D1965" s="2">
        <v>174435</v>
      </c>
    </row>
    <row r="1966" spans="1:4" s="6" customFormat="1" x14ac:dyDescent="0.25">
      <c r="B1966" s="6" t="str">
        <f>T("   Total Monde")</f>
        <v xml:space="preserve">   Total Monde</v>
      </c>
      <c r="C1966" s="1">
        <v>12</v>
      </c>
      <c r="D1966" s="1">
        <v>174435</v>
      </c>
    </row>
    <row r="1967" spans="1:4" s="6" customFormat="1" x14ac:dyDescent="0.25">
      <c r="A1967" s="6" t="str">
        <f>T("847180")</f>
        <v>847180</v>
      </c>
      <c r="B1967" s="6" t="str">
        <f>T("AUTRES UNITES DE MACHINES AUTOMATIQUES DE TRAITEMENT DE L'INFORMATION")</f>
        <v>AUTRES UNITES DE MACHINES AUTOMATIQUES DE TRAITEMENT DE L'INFORMATION</v>
      </c>
      <c r="C1967" s="1"/>
      <c r="D1967" s="1"/>
    </row>
    <row r="1968" spans="1:4" x14ac:dyDescent="0.25">
      <c r="B1968" t="str">
        <f>T("   Congo (Brazzaville)")</f>
        <v xml:space="preserve">   Congo (Brazzaville)</v>
      </c>
      <c r="C1968" s="2">
        <v>160</v>
      </c>
      <c r="D1968" s="2">
        <v>1903954</v>
      </c>
    </row>
    <row r="1969" spans="1:4" x14ac:dyDescent="0.25">
      <c r="B1969" t="str">
        <f>T("   Pays-bas")</f>
        <v xml:space="preserve">   Pays-bas</v>
      </c>
      <c r="C1969" s="2">
        <v>14</v>
      </c>
      <c r="D1969" s="2">
        <v>20357329</v>
      </c>
    </row>
    <row r="1970" spans="1:4" x14ac:dyDescent="0.25">
      <c r="B1970" t="str">
        <f>T("   Norvège")</f>
        <v xml:space="preserve">   Norvège</v>
      </c>
      <c r="C1970" s="2">
        <v>6500</v>
      </c>
      <c r="D1970" s="2">
        <v>21660965</v>
      </c>
    </row>
    <row r="1971" spans="1:4" s="6" customFormat="1" x14ac:dyDescent="0.25">
      <c r="B1971" s="6" t="str">
        <f>T("   Total Monde")</f>
        <v xml:space="preserve">   Total Monde</v>
      </c>
      <c r="C1971" s="1">
        <v>6674</v>
      </c>
      <c r="D1971" s="1">
        <v>43922248</v>
      </c>
    </row>
    <row r="1972" spans="1:4" s="6" customFormat="1" x14ac:dyDescent="0.25">
      <c r="A1972" s="6" t="str">
        <f>T("847190")</f>
        <v>847190</v>
      </c>
      <c r="B1972" s="6" t="str">
        <f>T("AUTRES")</f>
        <v>AUTRES</v>
      </c>
      <c r="C1972" s="1"/>
      <c r="D1972" s="1"/>
    </row>
    <row r="1973" spans="1:4" x14ac:dyDescent="0.25">
      <c r="B1973" t="str">
        <f>T("   France")</f>
        <v xml:space="preserve">   France</v>
      </c>
      <c r="C1973" s="2">
        <v>180</v>
      </c>
      <c r="D1973" s="2">
        <v>102949642</v>
      </c>
    </row>
    <row r="1974" spans="1:4" x14ac:dyDescent="0.25">
      <c r="B1974" t="str">
        <f>T("   Gabon")</f>
        <v xml:space="preserve">   Gabon</v>
      </c>
      <c r="C1974" s="2">
        <v>75.3</v>
      </c>
      <c r="D1974" s="2">
        <v>1105149</v>
      </c>
    </row>
    <row r="1975" spans="1:4" x14ac:dyDescent="0.25">
      <c r="B1975" t="str">
        <f>T("   Sénégal")</f>
        <v xml:space="preserve">   Sénégal</v>
      </c>
      <c r="C1975" s="2">
        <v>27</v>
      </c>
      <c r="D1975" s="2">
        <v>5000</v>
      </c>
    </row>
    <row r="1976" spans="1:4" s="6" customFormat="1" x14ac:dyDescent="0.25">
      <c r="B1976" s="6" t="str">
        <f>T("   Total Monde")</f>
        <v xml:space="preserve">   Total Monde</v>
      </c>
      <c r="C1976" s="1">
        <v>282.3</v>
      </c>
      <c r="D1976" s="1">
        <v>104059791</v>
      </c>
    </row>
    <row r="1977" spans="1:4" s="6" customFormat="1" x14ac:dyDescent="0.25">
      <c r="A1977" s="6" t="str">
        <f>T("847290")</f>
        <v>847290</v>
      </c>
      <c r="B1977" s="6" t="str">
        <f>T("AUTRES")</f>
        <v>AUTRES</v>
      </c>
      <c r="C1977" s="1"/>
      <c r="D1977" s="1"/>
    </row>
    <row r="1978" spans="1:4" x14ac:dyDescent="0.25">
      <c r="B1978" t="str">
        <f>T("   Colombie")</f>
        <v xml:space="preserve">   Colombie</v>
      </c>
      <c r="C1978" s="2">
        <v>78</v>
      </c>
      <c r="D1978" s="2">
        <v>300000</v>
      </c>
    </row>
    <row r="1979" spans="1:4" x14ac:dyDescent="0.25">
      <c r="B1979" t="str">
        <f>T("   France")</f>
        <v xml:space="preserve">   France</v>
      </c>
      <c r="C1979" s="2">
        <v>13</v>
      </c>
      <c r="D1979" s="2">
        <v>398317</v>
      </c>
    </row>
    <row r="1980" spans="1:4" s="6" customFormat="1" x14ac:dyDescent="0.25">
      <c r="B1980" s="6" t="str">
        <f>T("   Total Monde")</f>
        <v xml:space="preserve">   Total Monde</v>
      </c>
      <c r="C1980" s="1">
        <v>91</v>
      </c>
      <c r="D1980" s="1">
        <v>698317</v>
      </c>
    </row>
    <row r="1981" spans="1:4" s="6" customFormat="1" x14ac:dyDescent="0.25">
      <c r="A1981" s="6" t="str">
        <f>T("847330")</f>
        <v>847330</v>
      </c>
      <c r="B1981" s="6" t="str">
        <f>T("PARTIES ET ACCESSOIRES DES MACHINES DU N° 84.71")</f>
        <v>PARTIES ET ACCESSOIRES DES MACHINES DU N° 84.71</v>
      </c>
      <c r="C1981" s="1"/>
      <c r="D1981" s="1"/>
    </row>
    <row r="1982" spans="1:4" x14ac:dyDescent="0.25">
      <c r="B1982" t="str">
        <f>T("   Belgique")</f>
        <v xml:space="preserve">   Belgique</v>
      </c>
      <c r="C1982" s="2">
        <v>7940</v>
      </c>
      <c r="D1982" s="2">
        <v>3608760</v>
      </c>
    </row>
    <row r="1983" spans="1:4" x14ac:dyDescent="0.25">
      <c r="B1983" t="str">
        <f>T("   Gabon")</f>
        <v xml:space="preserve">   Gabon</v>
      </c>
      <c r="C1983" s="2">
        <v>49</v>
      </c>
      <c r="D1983" s="2">
        <v>7508118</v>
      </c>
    </row>
    <row r="1984" spans="1:4" s="6" customFormat="1" x14ac:dyDescent="0.25">
      <c r="B1984" s="6" t="str">
        <f>T("   Total Monde")</f>
        <v xml:space="preserve">   Total Monde</v>
      </c>
      <c r="C1984" s="1">
        <v>7989</v>
      </c>
      <c r="D1984" s="1">
        <v>11116878</v>
      </c>
    </row>
    <row r="1985" spans="1:4" s="6" customFormat="1" x14ac:dyDescent="0.25">
      <c r="A1985" s="6" t="str">
        <f>T("847340")</f>
        <v>847340</v>
      </c>
      <c r="B1985" s="6" t="str">
        <f>T("PARTIES ET ACCESSOIRES DES MACHINES DU N° 84.72")</f>
        <v>PARTIES ET ACCESSOIRES DES MACHINES DU N° 84.72</v>
      </c>
      <c r="C1985" s="1"/>
      <c r="D1985" s="1"/>
    </row>
    <row r="1986" spans="1:4" x14ac:dyDescent="0.25">
      <c r="B1986" t="str">
        <f>T("   Danemark")</f>
        <v xml:space="preserve">   Danemark</v>
      </c>
      <c r="C1986" s="2">
        <v>12</v>
      </c>
      <c r="D1986" s="2">
        <v>3723537</v>
      </c>
    </row>
    <row r="1987" spans="1:4" s="6" customFormat="1" x14ac:dyDescent="0.25">
      <c r="B1987" s="6" t="str">
        <f>T("   Total Monde")</f>
        <v xml:space="preserve">   Total Monde</v>
      </c>
      <c r="C1987" s="1">
        <v>12</v>
      </c>
      <c r="D1987" s="1">
        <v>3723537</v>
      </c>
    </row>
    <row r="1988" spans="1:4" s="6" customFormat="1" x14ac:dyDescent="0.25">
      <c r="A1988" s="6" t="str">
        <f>T("847420")</f>
        <v>847420</v>
      </c>
      <c r="B1988" s="6" t="str">
        <f>T("MACHINES ET APPAREILS A CONCASSER, BROYER OU PULVERISER")</f>
        <v>MACHINES ET APPAREILS A CONCASSER, BROYER OU PULVERISER</v>
      </c>
      <c r="C1988" s="1"/>
      <c r="D1988" s="1"/>
    </row>
    <row r="1989" spans="1:4" x14ac:dyDescent="0.25">
      <c r="B1989" t="str">
        <f>T("   Togo")</f>
        <v xml:space="preserve">   Togo</v>
      </c>
      <c r="C1989" s="2">
        <v>125000</v>
      </c>
      <c r="D1989" s="2">
        <v>113685950</v>
      </c>
    </row>
    <row r="1990" spans="1:4" s="6" customFormat="1" x14ac:dyDescent="0.25">
      <c r="B1990" s="6" t="str">
        <f>T("   Total Monde")</f>
        <v xml:space="preserve">   Total Monde</v>
      </c>
      <c r="C1990" s="1">
        <v>125000</v>
      </c>
      <c r="D1990" s="1">
        <v>113685950</v>
      </c>
    </row>
    <row r="1991" spans="1:4" s="6" customFormat="1" x14ac:dyDescent="0.25">
      <c r="A1991" s="6" t="str">
        <f>T("847431")</f>
        <v>847431</v>
      </c>
      <c r="B1991" s="6" t="str">
        <f>T("BETONNIERES ET APPAREILS A GACHER LE CIMENT")</f>
        <v>BETONNIERES ET APPAREILS A GACHER LE CIMENT</v>
      </c>
      <c r="C1991" s="1"/>
      <c r="D1991" s="1"/>
    </row>
    <row r="1992" spans="1:4" x14ac:dyDescent="0.25">
      <c r="B1992" t="str">
        <f>T("   Belgique")</f>
        <v xml:space="preserve">   Belgique</v>
      </c>
      <c r="C1992" s="2">
        <v>39900</v>
      </c>
      <c r="D1992" s="2">
        <v>179651700</v>
      </c>
    </row>
    <row r="1993" spans="1:4" x14ac:dyDescent="0.25">
      <c r="B1993" t="str">
        <f>T("   Côte d'Ivoire")</f>
        <v xml:space="preserve">   Côte d'Ivoire</v>
      </c>
      <c r="C1993" s="2">
        <v>13196</v>
      </c>
      <c r="D1993" s="2">
        <v>3406925</v>
      </c>
    </row>
    <row r="1994" spans="1:4" x14ac:dyDescent="0.25">
      <c r="B1994" t="str">
        <f>T("   Colombie")</f>
        <v xml:space="preserve">   Colombie</v>
      </c>
      <c r="C1994" s="2">
        <v>18500</v>
      </c>
      <c r="D1994" s="2">
        <v>28526979</v>
      </c>
    </row>
    <row r="1995" spans="1:4" x14ac:dyDescent="0.25">
      <c r="B1995" t="str">
        <f>T("   Mauritanie")</f>
        <v xml:space="preserve">   Mauritanie</v>
      </c>
      <c r="C1995" s="2">
        <v>53000</v>
      </c>
      <c r="D1995" s="2">
        <v>2504000</v>
      </c>
    </row>
    <row r="1996" spans="1:4" x14ac:dyDescent="0.25">
      <c r="B1996" t="str">
        <f>T("   Togo")</f>
        <v xml:space="preserve">   Togo</v>
      </c>
      <c r="C1996" s="2">
        <v>18340</v>
      </c>
      <c r="D1996" s="2">
        <v>26527912</v>
      </c>
    </row>
    <row r="1997" spans="1:4" s="6" customFormat="1" x14ac:dyDescent="0.25">
      <c r="B1997" s="6" t="str">
        <f>T("   Total Monde")</f>
        <v xml:space="preserve">   Total Monde</v>
      </c>
      <c r="C1997" s="1">
        <v>142936</v>
      </c>
      <c r="D1997" s="1">
        <v>240617516</v>
      </c>
    </row>
    <row r="1998" spans="1:4" s="6" customFormat="1" x14ac:dyDescent="0.25">
      <c r="A1998" s="6" t="str">
        <f>T("847432")</f>
        <v>847432</v>
      </c>
      <c r="B1998" s="6" t="str">
        <f>T("MACHINES A MELANGER LES MATIERES MINERALES AU BITUME")</f>
        <v>MACHINES A MELANGER LES MATIERES MINERALES AU BITUME</v>
      </c>
      <c r="C1998" s="1"/>
      <c r="D1998" s="1"/>
    </row>
    <row r="1999" spans="1:4" x14ac:dyDescent="0.25">
      <c r="B1999" t="str">
        <f>T("   Togo")</f>
        <v xml:space="preserve">   Togo</v>
      </c>
      <c r="C1999" s="2">
        <v>138000</v>
      </c>
      <c r="D1999" s="2">
        <v>53869000</v>
      </c>
    </row>
    <row r="2000" spans="1:4" s="6" customFormat="1" x14ac:dyDescent="0.25">
      <c r="B2000" s="6" t="str">
        <f>T("   Total Monde")</f>
        <v xml:space="preserve">   Total Monde</v>
      </c>
      <c r="C2000" s="1">
        <v>138000</v>
      </c>
      <c r="D2000" s="1">
        <v>53869000</v>
      </c>
    </row>
    <row r="2001" spans="1:4" s="6" customFormat="1" x14ac:dyDescent="0.25">
      <c r="A2001" s="6" t="str">
        <f>T("847439")</f>
        <v>847439</v>
      </c>
      <c r="B2001" s="6" t="str">
        <f>T("AUTRES")</f>
        <v>AUTRES</v>
      </c>
      <c r="C2001" s="1"/>
      <c r="D2001" s="1"/>
    </row>
    <row r="2002" spans="1:4" x14ac:dyDescent="0.25">
      <c r="B2002" t="str">
        <f>T("   Pays-bas")</f>
        <v xml:space="preserve">   Pays-bas</v>
      </c>
      <c r="C2002" s="2">
        <v>10530</v>
      </c>
      <c r="D2002" s="2">
        <v>33087934</v>
      </c>
    </row>
    <row r="2003" spans="1:4" s="6" customFormat="1" x14ac:dyDescent="0.25">
      <c r="B2003" s="6" t="str">
        <f>T("   Total Monde")</f>
        <v xml:space="preserve">   Total Monde</v>
      </c>
      <c r="C2003" s="1">
        <v>10530</v>
      </c>
      <c r="D2003" s="1">
        <v>33087934</v>
      </c>
    </row>
    <row r="2004" spans="1:4" s="6" customFormat="1" x14ac:dyDescent="0.25">
      <c r="A2004" s="6" t="str">
        <f>T("847480")</f>
        <v>847480</v>
      </c>
      <c r="B2004" s="6" t="str">
        <f>T("AUTRES MACHINES ET APPAREILS")</f>
        <v>AUTRES MACHINES ET APPAREILS</v>
      </c>
      <c r="C2004" s="1"/>
      <c r="D2004" s="1"/>
    </row>
    <row r="2005" spans="1:4" x14ac:dyDescent="0.25">
      <c r="B2005" t="str">
        <f>T("   Côte d'Ivoire")</f>
        <v xml:space="preserve">   Côte d'Ivoire</v>
      </c>
      <c r="C2005" s="2">
        <v>28939</v>
      </c>
      <c r="D2005" s="2">
        <v>19270689</v>
      </c>
    </row>
    <row r="2006" spans="1:4" s="6" customFormat="1" x14ac:dyDescent="0.25">
      <c r="B2006" s="6" t="str">
        <f>T("   Total Monde")</f>
        <v xml:space="preserve">   Total Monde</v>
      </c>
      <c r="C2006" s="1">
        <v>28939</v>
      </c>
      <c r="D2006" s="1">
        <v>19270689</v>
      </c>
    </row>
    <row r="2007" spans="1:4" s="6" customFormat="1" x14ac:dyDescent="0.25">
      <c r="A2007" s="6" t="str">
        <f>T("847490")</f>
        <v>847490</v>
      </c>
      <c r="B2007" s="6" t="str">
        <f>T("PARTIES")</f>
        <v>PARTIES</v>
      </c>
      <c r="C2007" s="1"/>
      <c r="D2007" s="1"/>
    </row>
    <row r="2008" spans="1:4" x14ac:dyDescent="0.25">
      <c r="B2008" t="str">
        <f>T("   Belgique")</f>
        <v xml:space="preserve">   Belgique</v>
      </c>
      <c r="C2008" s="2">
        <v>8400</v>
      </c>
      <c r="D2008" s="2">
        <v>26960508</v>
      </c>
    </row>
    <row r="2009" spans="1:4" s="6" customFormat="1" x14ac:dyDescent="0.25">
      <c r="B2009" s="6" t="str">
        <f>T("   Total Monde")</f>
        <v xml:space="preserve">   Total Monde</v>
      </c>
      <c r="C2009" s="1">
        <v>8400</v>
      </c>
      <c r="D2009" s="1">
        <v>26960508</v>
      </c>
    </row>
    <row r="2010" spans="1:4" s="6" customFormat="1" x14ac:dyDescent="0.25">
      <c r="A2010" s="6" t="str">
        <f>T("847910")</f>
        <v>847910</v>
      </c>
      <c r="B2010" s="6" t="str">
        <f>T("MACHINES ET APPAREILS POUR LES TRAVAUX PUBLICS, LE BATIMENT OU LES TRAVAUX ANALOGUES")</f>
        <v>MACHINES ET APPAREILS POUR LES TRAVAUX PUBLICS, LE BATIMENT OU LES TRAVAUX ANALOGUES</v>
      </c>
      <c r="C2010" s="1"/>
      <c r="D2010" s="1"/>
    </row>
    <row r="2011" spans="1:4" x14ac:dyDescent="0.25">
      <c r="B2011" t="str">
        <f>T("   Côte d'Ivoire")</f>
        <v xml:space="preserve">   Côte d'Ivoire</v>
      </c>
      <c r="C2011" s="2">
        <v>23150</v>
      </c>
      <c r="D2011" s="2">
        <v>33000000</v>
      </c>
    </row>
    <row r="2012" spans="1:4" x14ac:dyDescent="0.25">
      <c r="B2012" t="str">
        <f>T("   Chine")</f>
        <v xml:space="preserve">   Chine</v>
      </c>
      <c r="C2012" s="2">
        <v>17820</v>
      </c>
      <c r="D2012" s="2">
        <v>41796378</v>
      </c>
    </row>
    <row r="2013" spans="1:4" x14ac:dyDescent="0.25">
      <c r="B2013" t="str">
        <f>T("   Togo")</f>
        <v xml:space="preserve">   Togo</v>
      </c>
      <c r="C2013" s="2">
        <v>29020</v>
      </c>
      <c r="D2013" s="2">
        <v>57332152</v>
      </c>
    </row>
    <row r="2014" spans="1:4" s="6" customFormat="1" x14ac:dyDescent="0.25">
      <c r="B2014" s="6" t="str">
        <f>T("   Total Monde")</f>
        <v xml:space="preserve">   Total Monde</v>
      </c>
      <c r="C2014" s="1">
        <v>69990</v>
      </c>
      <c r="D2014" s="1">
        <v>132128530</v>
      </c>
    </row>
    <row r="2015" spans="1:4" s="6" customFormat="1" x14ac:dyDescent="0.25">
      <c r="A2015" s="6" t="str">
        <f>T("847981")</f>
        <v>847981</v>
      </c>
      <c r="B2015" s="6" t="str">
        <f>T("POUR LE TRAITEMENT DES METAUX, Y COMPRIS LES BOBINEUSES POUR ENROULEMENTS ELECTRIQUE")</f>
        <v>POUR LE TRAITEMENT DES METAUX, Y COMPRIS LES BOBINEUSES POUR ENROULEMENTS ELECTRIQUE</v>
      </c>
      <c r="C2015" s="1"/>
      <c r="D2015" s="1"/>
    </row>
    <row r="2016" spans="1:4" x14ac:dyDescent="0.25">
      <c r="B2016" t="str">
        <f>T("   Burkina Faso")</f>
        <v xml:space="preserve">   Burkina Faso</v>
      </c>
      <c r="C2016" s="2">
        <v>3550</v>
      </c>
      <c r="D2016" s="2">
        <v>2500000</v>
      </c>
    </row>
    <row r="2017" spans="1:4" x14ac:dyDescent="0.25">
      <c r="B2017" t="str">
        <f>T("   Ghana")</f>
        <v xml:space="preserve">   Ghana</v>
      </c>
      <c r="C2017" s="2">
        <v>27</v>
      </c>
      <c r="D2017" s="2">
        <v>271851</v>
      </c>
    </row>
    <row r="2018" spans="1:4" s="6" customFormat="1" x14ac:dyDescent="0.25">
      <c r="B2018" s="6" t="str">
        <f>T("   Total Monde")</f>
        <v xml:space="preserve">   Total Monde</v>
      </c>
      <c r="C2018" s="1">
        <v>3577</v>
      </c>
      <c r="D2018" s="1">
        <v>2771851</v>
      </c>
    </row>
    <row r="2019" spans="1:4" s="6" customFormat="1" x14ac:dyDescent="0.25">
      <c r="A2019" s="6" t="str">
        <f>T("847989")</f>
        <v>847989</v>
      </c>
      <c r="B2019" s="6" t="str">
        <f>T("AUTRES")</f>
        <v>AUTRES</v>
      </c>
      <c r="C2019" s="1"/>
      <c r="D2019" s="1"/>
    </row>
    <row r="2020" spans="1:4" x14ac:dyDescent="0.25">
      <c r="B2020" t="str">
        <f>T("   Allemagne")</f>
        <v xml:space="preserve">   Allemagne</v>
      </c>
      <c r="C2020" s="2">
        <v>510</v>
      </c>
      <c r="D2020" s="2">
        <v>2708244</v>
      </c>
    </row>
    <row r="2021" spans="1:4" x14ac:dyDescent="0.25">
      <c r="B2021" t="str">
        <f>T("   Gabon")</f>
        <v xml:space="preserve">   Gabon</v>
      </c>
      <c r="C2021" s="2">
        <v>18306</v>
      </c>
      <c r="D2021" s="2">
        <v>88771391</v>
      </c>
    </row>
    <row r="2022" spans="1:4" x14ac:dyDescent="0.25">
      <c r="B2022" t="str">
        <f>T("   Ghana")</f>
        <v xml:space="preserve">   Ghana</v>
      </c>
      <c r="C2022" s="2">
        <v>4535</v>
      </c>
      <c r="D2022" s="2">
        <v>50896422</v>
      </c>
    </row>
    <row r="2023" spans="1:4" x14ac:dyDescent="0.25">
      <c r="B2023" t="str">
        <f>T("   Etats-Unis")</f>
        <v xml:space="preserve">   Etats-Unis</v>
      </c>
      <c r="C2023" s="2">
        <v>2346</v>
      </c>
      <c r="D2023" s="2">
        <v>41063317</v>
      </c>
    </row>
    <row r="2024" spans="1:4" s="6" customFormat="1" x14ac:dyDescent="0.25">
      <c r="B2024" s="6" t="str">
        <f>T("   Total Monde")</f>
        <v xml:space="preserve">   Total Monde</v>
      </c>
      <c r="C2024" s="1">
        <v>25697</v>
      </c>
      <c r="D2024" s="1">
        <v>183439374</v>
      </c>
    </row>
    <row r="2025" spans="1:4" s="6" customFormat="1" x14ac:dyDescent="0.25">
      <c r="A2025" s="6" t="str">
        <f>T("847990")</f>
        <v>847990</v>
      </c>
      <c r="B2025" s="6" t="str">
        <f>T("PARTIES")</f>
        <v>PARTIES</v>
      </c>
      <c r="C2025" s="1"/>
      <c r="D2025" s="1"/>
    </row>
    <row r="2026" spans="1:4" x14ac:dyDescent="0.25">
      <c r="B2026" t="str">
        <f>T("   Canada")</f>
        <v xml:space="preserve">   Canada</v>
      </c>
      <c r="C2026" s="2">
        <v>1.5</v>
      </c>
      <c r="D2026" s="2">
        <v>543374</v>
      </c>
    </row>
    <row r="2027" spans="1:4" x14ac:dyDescent="0.25">
      <c r="B2027" t="str">
        <f>T("   Gabon")</f>
        <v xml:space="preserve">   Gabon</v>
      </c>
      <c r="C2027" s="2">
        <v>9103</v>
      </c>
      <c r="D2027" s="2">
        <v>311418772</v>
      </c>
    </row>
    <row r="2028" spans="1:4" x14ac:dyDescent="0.25">
      <c r="B2028" t="str">
        <f>T("   Ghana")</f>
        <v xml:space="preserve">   Ghana</v>
      </c>
      <c r="C2028" s="2">
        <v>298</v>
      </c>
      <c r="D2028" s="2">
        <v>6027528</v>
      </c>
    </row>
    <row r="2029" spans="1:4" x14ac:dyDescent="0.25">
      <c r="B2029" t="str">
        <f>T("   Togo")</f>
        <v xml:space="preserve">   Togo</v>
      </c>
      <c r="C2029" s="2">
        <v>19986</v>
      </c>
      <c r="D2029" s="2">
        <v>104558160</v>
      </c>
    </row>
    <row r="2030" spans="1:4" x14ac:dyDescent="0.25">
      <c r="B2030" t="str">
        <f>T("   Turquie")</f>
        <v xml:space="preserve">   Turquie</v>
      </c>
      <c r="C2030" s="2">
        <v>6</v>
      </c>
      <c r="D2030" s="2">
        <v>99579</v>
      </c>
    </row>
    <row r="2031" spans="1:4" s="6" customFormat="1" x14ac:dyDescent="0.25">
      <c r="B2031" s="6" t="str">
        <f>T("   Total Monde")</f>
        <v xml:space="preserve">   Total Monde</v>
      </c>
      <c r="C2031" s="1">
        <v>29394.5</v>
      </c>
      <c r="D2031" s="1">
        <v>422647413</v>
      </c>
    </row>
    <row r="2032" spans="1:4" s="6" customFormat="1" x14ac:dyDescent="0.25">
      <c r="A2032" s="6" t="str">
        <f>T("848060")</f>
        <v>848060</v>
      </c>
      <c r="B2032" s="6" t="str">
        <f>T("MOULES POUR LES MATIERES MINERALES")</f>
        <v>MOULES POUR LES MATIERES MINERALES</v>
      </c>
      <c r="C2032" s="1"/>
      <c r="D2032" s="1"/>
    </row>
    <row r="2033" spans="1:4" x14ac:dyDescent="0.25">
      <c r="B2033" t="str">
        <f>T("   Congo, République Démocratique")</f>
        <v xml:space="preserve">   Congo, République Démocratique</v>
      </c>
      <c r="C2033" s="2">
        <v>200</v>
      </c>
      <c r="D2033" s="2">
        <v>400000</v>
      </c>
    </row>
    <row r="2034" spans="1:4" s="6" customFormat="1" x14ac:dyDescent="0.25">
      <c r="B2034" s="6" t="str">
        <f>T("   Total Monde")</f>
        <v xml:space="preserve">   Total Monde</v>
      </c>
      <c r="C2034" s="1">
        <v>200</v>
      </c>
      <c r="D2034" s="1">
        <v>400000</v>
      </c>
    </row>
    <row r="2035" spans="1:4" s="6" customFormat="1" x14ac:dyDescent="0.25">
      <c r="A2035" s="6" t="str">
        <f>T("848079")</f>
        <v>848079</v>
      </c>
      <c r="B2035" s="6" t="str">
        <f>T("AUTRES")</f>
        <v>AUTRES</v>
      </c>
      <c r="C2035" s="1"/>
      <c r="D2035" s="1"/>
    </row>
    <row r="2036" spans="1:4" x14ac:dyDescent="0.25">
      <c r="B2036" t="str">
        <f>T("   Côte d'Ivoire")</f>
        <v xml:space="preserve">   Côte d'Ivoire</v>
      </c>
      <c r="C2036" s="2">
        <v>520</v>
      </c>
      <c r="D2036" s="2">
        <v>2180250</v>
      </c>
    </row>
    <row r="2037" spans="1:4" s="6" customFormat="1" x14ac:dyDescent="0.25">
      <c r="B2037" s="6" t="str">
        <f>T("   Total Monde")</f>
        <v xml:space="preserve">   Total Monde</v>
      </c>
      <c r="C2037" s="1">
        <v>520</v>
      </c>
      <c r="D2037" s="1">
        <v>2180250</v>
      </c>
    </row>
    <row r="2038" spans="1:4" s="6" customFormat="1" x14ac:dyDescent="0.25">
      <c r="A2038" s="6" t="str">
        <f>T("848120")</f>
        <v>848120</v>
      </c>
      <c r="B2038" s="6" t="str">
        <f>T("VALVES POUR TRANSMISSIONS OLEOHYDRAULIQUES OU PNEUMATIQUES")</f>
        <v>VALVES POUR TRANSMISSIONS OLEOHYDRAULIQUES OU PNEUMATIQUES</v>
      </c>
      <c r="C2038" s="1"/>
      <c r="D2038" s="1"/>
    </row>
    <row r="2039" spans="1:4" x14ac:dyDescent="0.25">
      <c r="B2039" t="str">
        <f>T("   Gabon")</f>
        <v xml:space="preserve">   Gabon</v>
      </c>
      <c r="C2039" s="2">
        <v>146</v>
      </c>
      <c r="D2039" s="2">
        <v>5805767</v>
      </c>
    </row>
    <row r="2040" spans="1:4" x14ac:dyDescent="0.25">
      <c r="B2040" t="str">
        <f>T("   Pays-bas")</f>
        <v xml:space="preserve">   Pays-bas</v>
      </c>
      <c r="C2040" s="2">
        <v>20</v>
      </c>
      <c r="D2040" s="2">
        <v>28188548</v>
      </c>
    </row>
    <row r="2041" spans="1:4" x14ac:dyDescent="0.25">
      <c r="B2041" t="str">
        <f>T("   Togo")</f>
        <v xml:space="preserve">   Togo</v>
      </c>
      <c r="C2041" s="2">
        <v>154</v>
      </c>
      <c r="D2041" s="2">
        <v>655957</v>
      </c>
    </row>
    <row r="2042" spans="1:4" s="6" customFormat="1" x14ac:dyDescent="0.25">
      <c r="B2042" s="6" t="str">
        <f>T("   Total Monde")</f>
        <v xml:space="preserve">   Total Monde</v>
      </c>
      <c r="C2042" s="1">
        <v>320</v>
      </c>
      <c r="D2042" s="1">
        <v>34650272</v>
      </c>
    </row>
    <row r="2043" spans="1:4" s="6" customFormat="1" x14ac:dyDescent="0.25">
      <c r="A2043" s="6" t="str">
        <f>T("848130")</f>
        <v>848130</v>
      </c>
      <c r="B2043" s="6" t="str">
        <f>T("Clapets et soupapes de retenue")</f>
        <v>Clapets et soupapes de retenue</v>
      </c>
      <c r="C2043" s="1"/>
      <c r="D2043" s="1"/>
    </row>
    <row r="2044" spans="1:4" x14ac:dyDescent="0.25">
      <c r="B2044" t="str">
        <f>T("   Gabon")</f>
        <v xml:space="preserve">   Gabon</v>
      </c>
      <c r="C2044" s="2">
        <v>1475</v>
      </c>
      <c r="D2044" s="2">
        <v>11448521</v>
      </c>
    </row>
    <row r="2045" spans="1:4" s="6" customFormat="1" x14ac:dyDescent="0.25">
      <c r="B2045" s="6" t="str">
        <f>T("   Total Monde")</f>
        <v xml:space="preserve">   Total Monde</v>
      </c>
      <c r="C2045" s="1">
        <v>1475</v>
      </c>
      <c r="D2045" s="1">
        <v>11448521</v>
      </c>
    </row>
    <row r="2046" spans="1:4" s="6" customFormat="1" x14ac:dyDescent="0.25">
      <c r="A2046" s="6" t="str">
        <f>T("848140")</f>
        <v>848140</v>
      </c>
      <c r="B2046" s="6" t="str">
        <f>T("SOUPAPES DE TROPPLEIN OU DE SURETE")</f>
        <v>SOUPAPES DE TROPPLEIN OU DE SURETE</v>
      </c>
      <c r="C2046" s="1"/>
      <c r="D2046" s="1"/>
    </row>
    <row r="2047" spans="1:4" x14ac:dyDescent="0.25">
      <c r="B2047" t="str">
        <f>T("   Gabon")</f>
        <v xml:space="preserve">   Gabon</v>
      </c>
      <c r="C2047" s="2">
        <v>2032</v>
      </c>
      <c r="D2047" s="2">
        <v>150575700</v>
      </c>
    </row>
    <row r="2048" spans="1:4" x14ac:dyDescent="0.25">
      <c r="B2048" t="str">
        <f>T("   Ghana")</f>
        <v xml:space="preserve">   Ghana</v>
      </c>
      <c r="C2048" s="2">
        <v>25</v>
      </c>
      <c r="D2048" s="2">
        <v>2685322</v>
      </c>
    </row>
    <row r="2049" spans="1:4" x14ac:dyDescent="0.25">
      <c r="B2049" t="str">
        <f>T("   Etats-Unis")</f>
        <v xml:space="preserve">   Etats-Unis</v>
      </c>
      <c r="C2049" s="2">
        <v>37</v>
      </c>
      <c r="D2049" s="2">
        <v>798128</v>
      </c>
    </row>
    <row r="2050" spans="1:4" s="6" customFormat="1" x14ac:dyDescent="0.25">
      <c r="B2050" s="6" t="str">
        <f>T("   Total Monde")</f>
        <v xml:space="preserve">   Total Monde</v>
      </c>
      <c r="C2050" s="1">
        <v>2094</v>
      </c>
      <c r="D2050" s="1">
        <v>154059150</v>
      </c>
    </row>
    <row r="2051" spans="1:4" s="6" customFormat="1" x14ac:dyDescent="0.25">
      <c r="A2051" s="6" t="str">
        <f>T("848180")</f>
        <v>848180</v>
      </c>
      <c r="B2051" s="6" t="str">
        <f>T("Autres articles de robinetterie et organes similaires")</f>
        <v>Autres articles de robinetterie et organes similaires</v>
      </c>
      <c r="C2051" s="1"/>
      <c r="D2051" s="1"/>
    </row>
    <row r="2052" spans="1:4" x14ac:dyDescent="0.25">
      <c r="B2052" t="str">
        <f>T("   Gabon")</f>
        <v xml:space="preserve">   Gabon</v>
      </c>
      <c r="C2052" s="2">
        <v>27139</v>
      </c>
      <c r="D2052" s="2">
        <v>505470387</v>
      </c>
    </row>
    <row r="2053" spans="1:4" x14ac:dyDescent="0.25">
      <c r="B2053" t="str">
        <f>T("   Royaume-Uni")</f>
        <v xml:space="preserve">   Royaume-Uni</v>
      </c>
      <c r="C2053" s="2">
        <v>3</v>
      </c>
      <c r="D2053" s="2">
        <v>281190</v>
      </c>
    </row>
    <row r="2054" spans="1:4" x14ac:dyDescent="0.25">
      <c r="B2054" t="str">
        <f>T("   Ghana")</f>
        <v xml:space="preserve">   Ghana</v>
      </c>
      <c r="C2054" s="2">
        <v>415</v>
      </c>
      <c r="D2054" s="2">
        <v>9273811</v>
      </c>
    </row>
    <row r="2055" spans="1:4" x14ac:dyDescent="0.25">
      <c r="B2055" t="str">
        <f>T("   Pays-bas")</f>
        <v xml:space="preserve">   Pays-bas</v>
      </c>
      <c r="C2055" s="2">
        <v>1158</v>
      </c>
      <c r="D2055" s="2">
        <v>15115625</v>
      </c>
    </row>
    <row r="2056" spans="1:4" x14ac:dyDescent="0.25">
      <c r="B2056" t="str">
        <f>T("   Tchad")</f>
        <v xml:space="preserve">   Tchad</v>
      </c>
      <c r="C2056" s="2">
        <v>309120</v>
      </c>
      <c r="D2056" s="2">
        <v>520332161</v>
      </c>
    </row>
    <row r="2057" spans="1:4" x14ac:dyDescent="0.25">
      <c r="B2057" t="str">
        <f>T("   Etats-Unis")</f>
        <v xml:space="preserve">   Etats-Unis</v>
      </c>
      <c r="C2057" s="2">
        <v>56</v>
      </c>
      <c r="D2057" s="2">
        <v>1208443</v>
      </c>
    </row>
    <row r="2058" spans="1:4" x14ac:dyDescent="0.25">
      <c r="B2058" t="str">
        <f>T("   Afrique du Sud")</f>
        <v xml:space="preserve">   Afrique du Sud</v>
      </c>
      <c r="C2058" s="2">
        <v>43</v>
      </c>
      <c r="D2058" s="2">
        <v>362966</v>
      </c>
    </row>
    <row r="2059" spans="1:4" s="6" customFormat="1" x14ac:dyDescent="0.25">
      <c r="B2059" s="6" t="str">
        <f>T("   Total Monde")</f>
        <v xml:space="preserve">   Total Monde</v>
      </c>
      <c r="C2059" s="1">
        <v>337934</v>
      </c>
      <c r="D2059" s="1">
        <v>1052044583</v>
      </c>
    </row>
    <row r="2060" spans="1:4" s="6" customFormat="1" x14ac:dyDescent="0.25">
      <c r="A2060" s="6" t="str">
        <f>T("848190")</f>
        <v>848190</v>
      </c>
      <c r="B2060" s="6" t="str">
        <f>T("PARTIES")</f>
        <v>PARTIES</v>
      </c>
      <c r="C2060" s="1"/>
      <c r="D2060" s="1"/>
    </row>
    <row r="2061" spans="1:4" x14ac:dyDescent="0.25">
      <c r="B2061" t="str">
        <f>T("   Belgique")</f>
        <v xml:space="preserve">   Belgique</v>
      </c>
      <c r="C2061" s="2">
        <v>25</v>
      </c>
      <c r="D2061" s="2">
        <v>390480</v>
      </c>
    </row>
    <row r="2062" spans="1:4" x14ac:dyDescent="0.25">
      <c r="B2062" t="str">
        <f>T("   Allemagne")</f>
        <v xml:space="preserve">   Allemagne</v>
      </c>
      <c r="C2062" s="2">
        <v>1.4</v>
      </c>
      <c r="D2062" s="2">
        <v>390480</v>
      </c>
    </row>
    <row r="2063" spans="1:4" x14ac:dyDescent="0.25">
      <c r="B2063" t="str">
        <f>T("   Gabon")</f>
        <v xml:space="preserve">   Gabon</v>
      </c>
      <c r="C2063" s="2">
        <v>24.5</v>
      </c>
      <c r="D2063" s="2">
        <v>533550</v>
      </c>
    </row>
    <row r="2064" spans="1:4" x14ac:dyDescent="0.25">
      <c r="B2064" t="str">
        <f>T("   Afrique du Sud")</f>
        <v xml:space="preserve">   Afrique du Sud</v>
      </c>
      <c r="C2064" s="2">
        <v>8165</v>
      </c>
      <c r="D2064" s="2">
        <v>298141121</v>
      </c>
    </row>
    <row r="2065" spans="1:4" s="6" customFormat="1" x14ac:dyDescent="0.25">
      <c r="B2065" s="6" t="str">
        <f>T("   Total Monde")</f>
        <v xml:space="preserve">   Total Monde</v>
      </c>
      <c r="C2065" s="1">
        <v>8215.9</v>
      </c>
      <c r="D2065" s="1">
        <v>299455631</v>
      </c>
    </row>
    <row r="2066" spans="1:4" s="6" customFormat="1" x14ac:dyDescent="0.25">
      <c r="A2066" s="6" t="str">
        <f>T("848240")</f>
        <v>848240</v>
      </c>
      <c r="B2066" s="6" t="str">
        <f>T("ROULEMENTS A AIGUILLES")</f>
        <v>ROULEMENTS A AIGUILLES</v>
      </c>
      <c r="C2066" s="1"/>
      <c r="D2066" s="1"/>
    </row>
    <row r="2067" spans="1:4" x14ac:dyDescent="0.25">
      <c r="B2067" t="str">
        <f>T("   Heard et McDonald, îles")</f>
        <v xml:space="preserve">   Heard et McDonald, îles</v>
      </c>
      <c r="C2067" s="2">
        <v>83.5</v>
      </c>
      <c r="D2067" s="2">
        <v>3928399</v>
      </c>
    </row>
    <row r="2068" spans="1:4" s="6" customFormat="1" x14ac:dyDescent="0.25">
      <c r="B2068" s="6" t="str">
        <f>T("   Total Monde")</f>
        <v xml:space="preserve">   Total Monde</v>
      </c>
      <c r="C2068" s="1">
        <v>83.5</v>
      </c>
      <c r="D2068" s="1">
        <v>3928399</v>
      </c>
    </row>
    <row r="2069" spans="1:4" s="6" customFormat="1" x14ac:dyDescent="0.25">
      <c r="A2069" s="6" t="str">
        <f>T("848280")</f>
        <v>848280</v>
      </c>
      <c r="B2069" s="6" t="str">
        <f>T("AUTRES, Y COMPRIS LES ROULEMENTS COMBINES")</f>
        <v>AUTRES, Y COMPRIS LES ROULEMENTS COMBINES</v>
      </c>
      <c r="C2069" s="1"/>
      <c r="D2069" s="1"/>
    </row>
    <row r="2070" spans="1:4" x14ac:dyDescent="0.25">
      <c r="B2070" t="str">
        <f>T("   Gabon")</f>
        <v xml:space="preserve">   Gabon</v>
      </c>
      <c r="C2070" s="2">
        <v>135</v>
      </c>
      <c r="D2070" s="2">
        <v>7093296</v>
      </c>
    </row>
    <row r="2071" spans="1:4" s="6" customFormat="1" x14ac:dyDescent="0.25">
      <c r="B2071" s="6" t="str">
        <f>T("   Total Monde")</f>
        <v xml:space="preserve">   Total Monde</v>
      </c>
      <c r="C2071" s="1">
        <v>135</v>
      </c>
      <c r="D2071" s="1">
        <v>7093296</v>
      </c>
    </row>
    <row r="2072" spans="1:4" s="6" customFormat="1" x14ac:dyDescent="0.25">
      <c r="A2072" s="6" t="str">
        <f>T("848350")</f>
        <v>848350</v>
      </c>
      <c r="B2072" s="6" t="str">
        <f>T("VOLANTS ET POULIES, Y COMPRIS LES POULIES A MOUFLES")</f>
        <v>VOLANTS ET POULIES, Y COMPRIS LES POULIES A MOUFLES</v>
      </c>
      <c r="C2072" s="1"/>
      <c r="D2072" s="1"/>
    </row>
    <row r="2073" spans="1:4" x14ac:dyDescent="0.25">
      <c r="B2073" t="str">
        <f>T("   Côte d'Ivoire")</f>
        <v xml:space="preserve">   Côte d'Ivoire</v>
      </c>
      <c r="C2073" s="2">
        <v>50</v>
      </c>
      <c r="D2073" s="2">
        <v>50000</v>
      </c>
    </row>
    <row r="2074" spans="1:4" s="6" customFormat="1" x14ac:dyDescent="0.25">
      <c r="B2074" s="6" t="str">
        <f>T("   Total Monde")</f>
        <v xml:space="preserve">   Total Monde</v>
      </c>
      <c r="C2074" s="1">
        <v>50</v>
      </c>
      <c r="D2074" s="1">
        <v>50000</v>
      </c>
    </row>
    <row r="2075" spans="1:4" s="6" customFormat="1" x14ac:dyDescent="0.25">
      <c r="A2075" s="6" t="str">
        <f>T("848360")</f>
        <v>848360</v>
      </c>
      <c r="B2075" s="6" t="str">
        <f>T("EMBRAYAGES ET ORGANES D'ACCOUPLEMENT, Y COMPRIS LES JOINTS D'ARTICULATION")</f>
        <v>EMBRAYAGES ET ORGANES D'ACCOUPLEMENT, Y COMPRIS LES JOINTS D'ARTICULATION</v>
      </c>
      <c r="C2075" s="1"/>
      <c r="D2075" s="1"/>
    </row>
    <row r="2076" spans="1:4" x14ac:dyDescent="0.25">
      <c r="B2076" t="str">
        <f>T("   Pays-bas")</f>
        <v xml:space="preserve">   Pays-bas</v>
      </c>
      <c r="C2076" s="2">
        <v>11</v>
      </c>
      <c r="D2076" s="2">
        <v>14296907</v>
      </c>
    </row>
    <row r="2077" spans="1:4" s="6" customFormat="1" x14ac:dyDescent="0.25">
      <c r="B2077" s="6" t="str">
        <f>T("   Total Monde")</f>
        <v xml:space="preserve">   Total Monde</v>
      </c>
      <c r="C2077" s="1">
        <v>11</v>
      </c>
      <c r="D2077" s="1">
        <v>14296907</v>
      </c>
    </row>
    <row r="2078" spans="1:4" s="6" customFormat="1" x14ac:dyDescent="0.25">
      <c r="A2078" s="6" t="str">
        <f>T("848490")</f>
        <v>848490</v>
      </c>
      <c r="B2078" s="6" t="str">
        <f>T("AUTRES")</f>
        <v>AUTRES</v>
      </c>
      <c r="C2078" s="1"/>
      <c r="D2078" s="1"/>
    </row>
    <row r="2079" spans="1:4" x14ac:dyDescent="0.25">
      <c r="B2079" t="str">
        <f>T("   Congo (Brazzaville)")</f>
        <v xml:space="preserve">   Congo (Brazzaville)</v>
      </c>
      <c r="C2079" s="2">
        <v>97</v>
      </c>
      <c r="D2079" s="2">
        <v>1698936</v>
      </c>
    </row>
    <row r="2080" spans="1:4" x14ac:dyDescent="0.25">
      <c r="B2080" t="str">
        <f>T("   Gabon")</f>
        <v xml:space="preserve">   Gabon</v>
      </c>
      <c r="C2080" s="2">
        <v>22</v>
      </c>
      <c r="D2080" s="2">
        <v>2190742</v>
      </c>
    </row>
    <row r="2081" spans="1:4" x14ac:dyDescent="0.25">
      <c r="B2081" t="str">
        <f>T("   Ghana")</f>
        <v xml:space="preserve">   Ghana</v>
      </c>
      <c r="C2081" s="2">
        <v>58690</v>
      </c>
      <c r="D2081" s="2">
        <v>167607228</v>
      </c>
    </row>
    <row r="2082" spans="1:4" s="6" customFormat="1" x14ac:dyDescent="0.25">
      <c r="B2082" s="6" t="str">
        <f>T("   Total Monde")</f>
        <v xml:space="preserve">   Total Monde</v>
      </c>
      <c r="C2082" s="1">
        <v>58809</v>
      </c>
      <c r="D2082" s="1">
        <v>171496906</v>
      </c>
    </row>
    <row r="2083" spans="1:4" s="6" customFormat="1" x14ac:dyDescent="0.25">
      <c r="A2083" s="6" t="str">
        <f>T("850132")</f>
        <v>850132</v>
      </c>
      <c r="B2083" s="6" t="str">
        <f>T("D'UNE PUISSANCE EXCEDANT 750 W MAIS N'EXCEDANT PAS 75 KW")</f>
        <v>D'UNE PUISSANCE EXCEDANT 750 W MAIS N'EXCEDANT PAS 75 KW</v>
      </c>
      <c r="C2083" s="1"/>
      <c r="D2083" s="1"/>
    </row>
    <row r="2084" spans="1:4" x14ac:dyDescent="0.25">
      <c r="B2084" t="str">
        <f>T("   Norvège")</f>
        <v xml:space="preserve">   Norvège</v>
      </c>
      <c r="C2084" s="2">
        <v>199</v>
      </c>
      <c r="D2084" s="2">
        <v>2215686</v>
      </c>
    </row>
    <row r="2085" spans="1:4" s="6" customFormat="1" x14ac:dyDescent="0.25">
      <c r="B2085" s="6" t="str">
        <f>T("   Total Monde")</f>
        <v xml:space="preserve">   Total Monde</v>
      </c>
      <c r="C2085" s="1">
        <v>199</v>
      </c>
      <c r="D2085" s="1">
        <v>2215686</v>
      </c>
    </row>
    <row r="2086" spans="1:4" s="6" customFormat="1" x14ac:dyDescent="0.25">
      <c r="A2086" s="6" t="str">
        <f>T("850133")</f>
        <v>850133</v>
      </c>
      <c r="B2086" s="6" t="str">
        <f>T("D'UNE PUISSANCE EXCEDANT 75 KW MAIS N'EXCEDANT PAS 375 KW")</f>
        <v>D'UNE PUISSANCE EXCEDANT 75 KW MAIS N'EXCEDANT PAS 375 KW</v>
      </c>
      <c r="C2086" s="1"/>
      <c r="D2086" s="1"/>
    </row>
    <row r="2087" spans="1:4" x14ac:dyDescent="0.25">
      <c r="B2087" t="str">
        <f>T("   Togo")</f>
        <v xml:space="preserve">   Togo</v>
      </c>
      <c r="C2087" s="2">
        <v>150</v>
      </c>
      <c r="D2087" s="2">
        <v>647265</v>
      </c>
    </row>
    <row r="2088" spans="1:4" s="6" customFormat="1" x14ac:dyDescent="0.25">
      <c r="B2088" s="6" t="str">
        <f>T("   Total Monde")</f>
        <v xml:space="preserve">   Total Monde</v>
      </c>
      <c r="C2088" s="1">
        <v>150</v>
      </c>
      <c r="D2088" s="1">
        <v>647265</v>
      </c>
    </row>
    <row r="2089" spans="1:4" s="6" customFormat="1" x14ac:dyDescent="0.25">
      <c r="A2089" s="6" t="str">
        <f>T("850140")</f>
        <v>850140</v>
      </c>
      <c r="B2089" s="6" t="str">
        <f>T("AUTRES MOTEURS A COURANT ALTERNATIF, MONOPHASES")</f>
        <v>AUTRES MOTEURS A COURANT ALTERNATIF, MONOPHASES</v>
      </c>
      <c r="C2089" s="1"/>
      <c r="D2089" s="1"/>
    </row>
    <row r="2090" spans="1:4" x14ac:dyDescent="0.25">
      <c r="B2090" t="str">
        <f>T("   Congo (Brazzaville)")</f>
        <v xml:space="preserve">   Congo (Brazzaville)</v>
      </c>
      <c r="C2090" s="2">
        <v>1647</v>
      </c>
      <c r="D2090" s="2">
        <v>28912092</v>
      </c>
    </row>
    <row r="2091" spans="1:4" x14ac:dyDescent="0.25">
      <c r="B2091" t="str">
        <f>T("   Danemark")</f>
        <v xml:space="preserve">   Danemark</v>
      </c>
      <c r="C2091" s="2">
        <v>17.5</v>
      </c>
      <c r="D2091" s="2">
        <v>267863</v>
      </c>
    </row>
    <row r="2092" spans="1:4" x14ac:dyDescent="0.25">
      <c r="B2092" t="str">
        <f>T("   Gabon")</f>
        <v xml:space="preserve">   Gabon</v>
      </c>
      <c r="C2092" s="2">
        <v>2100</v>
      </c>
      <c r="D2092" s="2">
        <v>2200000</v>
      </c>
    </row>
    <row r="2093" spans="1:4" s="6" customFormat="1" x14ac:dyDescent="0.25">
      <c r="B2093" s="6" t="str">
        <f>T("   Total Monde")</f>
        <v xml:space="preserve">   Total Monde</v>
      </c>
      <c r="C2093" s="1">
        <v>3764.5</v>
      </c>
      <c r="D2093" s="1">
        <v>31379955</v>
      </c>
    </row>
    <row r="2094" spans="1:4" s="6" customFormat="1" x14ac:dyDescent="0.25">
      <c r="A2094" s="6" t="str">
        <f>T("850161")</f>
        <v>850161</v>
      </c>
      <c r="B2094" s="6" t="str">
        <f>T("D'UNE PUISSANCE N'EXCEDANT PAS 75 KVA")</f>
        <v>D'UNE PUISSANCE N'EXCEDANT PAS 75 KVA</v>
      </c>
      <c r="C2094" s="1"/>
      <c r="D2094" s="1"/>
    </row>
    <row r="2095" spans="1:4" x14ac:dyDescent="0.25">
      <c r="B2095" t="str">
        <f>T("   Togo")</f>
        <v xml:space="preserve">   Togo</v>
      </c>
      <c r="C2095" s="2">
        <v>4300</v>
      </c>
      <c r="D2095" s="2">
        <v>4227990</v>
      </c>
    </row>
    <row r="2096" spans="1:4" s="6" customFormat="1" x14ac:dyDescent="0.25">
      <c r="B2096" s="6" t="str">
        <f>T("   Total Monde")</f>
        <v xml:space="preserve">   Total Monde</v>
      </c>
      <c r="C2096" s="1">
        <v>4300</v>
      </c>
      <c r="D2096" s="1">
        <v>4227990</v>
      </c>
    </row>
    <row r="2097" spans="1:4" s="6" customFormat="1" x14ac:dyDescent="0.25">
      <c r="A2097" s="6" t="str">
        <f>T("850162")</f>
        <v>850162</v>
      </c>
      <c r="B2097" s="6" t="str">
        <f>T("D'UNE PUISSANCE EXCEDANT 75 KVA MAIS N'EXCEDANT PAS 375 KVA")</f>
        <v>D'UNE PUISSANCE EXCEDANT 75 KVA MAIS N'EXCEDANT PAS 375 KVA</v>
      </c>
      <c r="C2097" s="1"/>
      <c r="D2097" s="1"/>
    </row>
    <row r="2098" spans="1:4" x14ac:dyDescent="0.25">
      <c r="B2098" t="str">
        <f>T("   Togo")</f>
        <v xml:space="preserve">   Togo</v>
      </c>
      <c r="C2098" s="2">
        <v>2250</v>
      </c>
      <c r="D2098" s="2">
        <v>14936880</v>
      </c>
    </row>
    <row r="2099" spans="1:4" s="6" customFormat="1" x14ac:dyDescent="0.25">
      <c r="B2099" s="6" t="str">
        <f>T("   Total Monde")</f>
        <v xml:space="preserve">   Total Monde</v>
      </c>
      <c r="C2099" s="1">
        <v>2250</v>
      </c>
      <c r="D2099" s="1">
        <v>14936880</v>
      </c>
    </row>
    <row r="2100" spans="1:4" s="6" customFormat="1" x14ac:dyDescent="0.25">
      <c r="A2100" s="6" t="str">
        <f>T("850164")</f>
        <v>850164</v>
      </c>
      <c r="B2100" s="6" t="str">
        <f>T("D'UNE PUISSANCE EXCEDANT 750 KVA")</f>
        <v>D'UNE PUISSANCE EXCEDANT 750 KVA</v>
      </c>
      <c r="C2100" s="1"/>
      <c r="D2100" s="1"/>
    </row>
    <row r="2101" spans="1:4" x14ac:dyDescent="0.25">
      <c r="B2101" t="str">
        <f>T("   Cameroun")</f>
        <v xml:space="preserve">   Cameroun</v>
      </c>
      <c r="C2101" s="2">
        <v>600</v>
      </c>
      <c r="D2101" s="2">
        <v>19915840</v>
      </c>
    </row>
    <row r="2102" spans="1:4" s="6" customFormat="1" x14ac:dyDescent="0.25">
      <c r="B2102" s="6" t="str">
        <f>T("   Total Monde")</f>
        <v xml:space="preserve">   Total Monde</v>
      </c>
      <c r="C2102" s="1">
        <v>600</v>
      </c>
      <c r="D2102" s="1">
        <v>19915840</v>
      </c>
    </row>
    <row r="2103" spans="1:4" s="6" customFormat="1" x14ac:dyDescent="0.25">
      <c r="A2103" s="6" t="str">
        <f>T("850211")</f>
        <v>850211</v>
      </c>
      <c r="B2103" s="6" t="str">
        <f>T("D'UNE PUISSANCE N'EXCEDANT PAS 75 KVA")</f>
        <v>D'UNE PUISSANCE N'EXCEDANT PAS 75 KVA</v>
      </c>
      <c r="C2103" s="1"/>
      <c r="D2103" s="1"/>
    </row>
    <row r="2104" spans="1:4" x14ac:dyDescent="0.25">
      <c r="B2104" t="str">
        <f>T("   France")</f>
        <v xml:space="preserve">   France</v>
      </c>
      <c r="C2104" s="2">
        <v>25520</v>
      </c>
      <c r="D2104" s="2">
        <v>124219433</v>
      </c>
    </row>
    <row r="2105" spans="1:4" x14ac:dyDescent="0.25">
      <c r="B2105" t="str">
        <f>T("   Mauritanie")</f>
        <v xml:space="preserve">   Mauritanie</v>
      </c>
      <c r="C2105" s="2">
        <v>9400</v>
      </c>
      <c r="D2105" s="2">
        <v>1645700</v>
      </c>
    </row>
    <row r="2106" spans="1:4" x14ac:dyDescent="0.25">
      <c r="B2106" t="str">
        <f>T("   Pays-bas")</f>
        <v xml:space="preserve">   Pays-bas</v>
      </c>
      <c r="C2106" s="2">
        <v>250</v>
      </c>
      <c r="D2106" s="2">
        <v>12272000</v>
      </c>
    </row>
    <row r="2107" spans="1:4" x14ac:dyDescent="0.25">
      <c r="B2107" t="str">
        <f>T("   Togo")</f>
        <v xml:space="preserve">   Togo</v>
      </c>
      <c r="C2107" s="2">
        <v>5088</v>
      </c>
      <c r="D2107" s="2">
        <v>18629268</v>
      </c>
    </row>
    <row r="2108" spans="1:4" s="6" customFormat="1" x14ac:dyDescent="0.25">
      <c r="B2108" s="6" t="str">
        <f>T("   Total Monde")</f>
        <v xml:space="preserve">   Total Monde</v>
      </c>
      <c r="C2108" s="1">
        <v>40258</v>
      </c>
      <c r="D2108" s="1">
        <v>156766401</v>
      </c>
    </row>
    <row r="2109" spans="1:4" s="6" customFormat="1" x14ac:dyDescent="0.25">
      <c r="A2109" s="6" t="str">
        <f>T("850212")</f>
        <v>850212</v>
      </c>
      <c r="B2109" s="6" t="str">
        <f>T("D'UNE PUISSANCE EXCEDANT 75 KVA MAIS N'EXCEDANT PAS 375 KVA")</f>
        <v>D'UNE PUISSANCE EXCEDANT 75 KVA MAIS N'EXCEDANT PAS 375 KVA</v>
      </c>
      <c r="C2109" s="1"/>
      <c r="D2109" s="1"/>
    </row>
    <row r="2110" spans="1:4" x14ac:dyDescent="0.25">
      <c r="B2110" t="str">
        <f>T("   Djibouti")</f>
        <v xml:space="preserve">   Djibouti</v>
      </c>
      <c r="C2110" s="2">
        <v>6654</v>
      </c>
      <c r="D2110" s="2">
        <v>5801385</v>
      </c>
    </row>
    <row r="2111" spans="1:4" x14ac:dyDescent="0.25">
      <c r="B2111" t="str">
        <f>T("   Togo")</f>
        <v xml:space="preserve">   Togo</v>
      </c>
      <c r="C2111" s="2">
        <v>4844</v>
      </c>
      <c r="D2111" s="2">
        <v>16590901</v>
      </c>
    </row>
    <row r="2112" spans="1:4" s="6" customFormat="1" x14ac:dyDescent="0.25">
      <c r="B2112" s="6" t="str">
        <f>T("   Total Monde")</f>
        <v xml:space="preserve">   Total Monde</v>
      </c>
      <c r="C2112" s="1">
        <v>11498</v>
      </c>
      <c r="D2112" s="1">
        <v>22392286</v>
      </c>
    </row>
    <row r="2113" spans="1:4" s="6" customFormat="1" x14ac:dyDescent="0.25">
      <c r="A2113" s="6" t="str">
        <f>T("850213")</f>
        <v>850213</v>
      </c>
      <c r="B2113" s="6" t="str">
        <f>T("D'UNE PUISSANCE EXCEDANT 375 KVA")</f>
        <v>D'UNE PUISSANCE EXCEDANT 375 KVA</v>
      </c>
      <c r="C2113" s="1"/>
      <c r="D2113" s="1"/>
    </row>
    <row r="2114" spans="1:4" x14ac:dyDescent="0.25">
      <c r="B2114" t="str">
        <f>T("   Emirats Arabes Unis")</f>
        <v xml:space="preserve">   Emirats Arabes Unis</v>
      </c>
      <c r="C2114" s="2">
        <v>19600</v>
      </c>
      <c r="D2114" s="2">
        <v>8364225</v>
      </c>
    </row>
    <row r="2115" spans="1:4" x14ac:dyDescent="0.25">
      <c r="B2115" t="str">
        <f>T("   Côte d'Ivoire")</f>
        <v xml:space="preserve">   Côte d'Ivoire</v>
      </c>
      <c r="C2115" s="2">
        <v>6155</v>
      </c>
      <c r="D2115" s="2">
        <v>2555197</v>
      </c>
    </row>
    <row r="2116" spans="1:4" x14ac:dyDescent="0.25">
      <c r="B2116" t="str">
        <f>T("   Chine")</f>
        <v xml:space="preserve">   Chine</v>
      </c>
      <c r="C2116" s="2">
        <v>1500</v>
      </c>
      <c r="D2116" s="2">
        <v>4099698</v>
      </c>
    </row>
    <row r="2117" spans="1:4" x14ac:dyDescent="0.25">
      <c r="B2117" t="str">
        <f>T("   Togo")</f>
        <v xml:space="preserve">   Togo</v>
      </c>
      <c r="C2117" s="2">
        <v>12228</v>
      </c>
      <c r="D2117" s="2">
        <v>77435863</v>
      </c>
    </row>
    <row r="2118" spans="1:4" s="6" customFormat="1" x14ac:dyDescent="0.25">
      <c r="B2118" s="6" t="str">
        <f>T("   Total Monde")</f>
        <v xml:space="preserve">   Total Monde</v>
      </c>
      <c r="C2118" s="1">
        <v>39483</v>
      </c>
      <c r="D2118" s="1">
        <v>92454983</v>
      </c>
    </row>
    <row r="2119" spans="1:4" s="6" customFormat="1" x14ac:dyDescent="0.25">
      <c r="A2119" s="6" t="str">
        <f>T("850220")</f>
        <v>850220</v>
      </c>
      <c r="B2119" s="6" t="str">
        <f>T("GROUPES ELECTROGENES A MOTEUR A PISTON A ALLUMAGE PAR ETINCELLES (MOTEURS A EXPLOSION")</f>
        <v>GROUPES ELECTROGENES A MOTEUR A PISTON A ALLUMAGE PAR ETINCELLES (MOTEURS A EXPLOSION</v>
      </c>
      <c r="C2119" s="1"/>
      <c r="D2119" s="1"/>
    </row>
    <row r="2120" spans="1:4" x14ac:dyDescent="0.25">
      <c r="B2120" t="str">
        <f>T("   Togo")</f>
        <v xml:space="preserve">   Togo</v>
      </c>
      <c r="C2120" s="2">
        <v>1000</v>
      </c>
      <c r="D2120" s="2">
        <v>175000</v>
      </c>
    </row>
    <row r="2121" spans="1:4" s="6" customFormat="1" x14ac:dyDescent="0.25">
      <c r="B2121" s="6" t="str">
        <f>T("   Total Monde")</f>
        <v xml:space="preserve">   Total Monde</v>
      </c>
      <c r="C2121" s="1">
        <v>1000</v>
      </c>
      <c r="D2121" s="1">
        <v>175000</v>
      </c>
    </row>
    <row r="2122" spans="1:4" s="6" customFormat="1" x14ac:dyDescent="0.25">
      <c r="A2122" s="6" t="str">
        <f>T("850239")</f>
        <v>850239</v>
      </c>
      <c r="B2122" s="6" t="str">
        <f>T("AUTRES")</f>
        <v>AUTRES</v>
      </c>
      <c r="C2122" s="1"/>
      <c r="D2122" s="1"/>
    </row>
    <row r="2123" spans="1:4" x14ac:dyDescent="0.25">
      <c r="B2123" t="str">
        <f>T("   Burkina Faso")</f>
        <v xml:space="preserve">   Burkina Faso</v>
      </c>
      <c r="C2123" s="2">
        <v>2800</v>
      </c>
      <c r="D2123" s="2">
        <v>988900</v>
      </c>
    </row>
    <row r="2124" spans="1:4" x14ac:dyDescent="0.25">
      <c r="B2124" t="str">
        <f>T("   Espagne")</f>
        <v xml:space="preserve">   Espagne</v>
      </c>
      <c r="C2124" s="2">
        <v>5044</v>
      </c>
      <c r="D2124" s="2">
        <v>25003884</v>
      </c>
    </row>
    <row r="2125" spans="1:4" x14ac:dyDescent="0.25">
      <c r="B2125" t="str">
        <f>T("   Gabon")</f>
        <v xml:space="preserve">   Gabon</v>
      </c>
      <c r="C2125" s="2">
        <v>18507</v>
      </c>
      <c r="D2125" s="2">
        <v>125135521</v>
      </c>
    </row>
    <row r="2126" spans="1:4" x14ac:dyDescent="0.25">
      <c r="B2126" t="str">
        <f>T("   Guinée Equatoriale")</f>
        <v xml:space="preserve">   Guinée Equatoriale</v>
      </c>
      <c r="C2126" s="2">
        <v>200</v>
      </c>
      <c r="D2126" s="2">
        <v>400000</v>
      </c>
    </row>
    <row r="2127" spans="1:4" x14ac:dyDescent="0.25">
      <c r="B2127" t="str">
        <f>T("   Nigéria")</f>
        <v xml:space="preserve">   Nigéria</v>
      </c>
      <c r="C2127" s="2">
        <v>10300</v>
      </c>
      <c r="D2127" s="2">
        <v>27959160</v>
      </c>
    </row>
    <row r="2128" spans="1:4" s="6" customFormat="1" x14ac:dyDescent="0.25">
      <c r="B2128" s="6" t="str">
        <f>T("   Total Monde")</f>
        <v xml:space="preserve">   Total Monde</v>
      </c>
      <c r="C2128" s="1">
        <v>36851</v>
      </c>
      <c r="D2128" s="1">
        <v>179487465</v>
      </c>
    </row>
    <row r="2129" spans="1:4" s="6" customFormat="1" x14ac:dyDescent="0.25">
      <c r="A2129" s="6" t="str">
        <f>T("850421")</f>
        <v>850421</v>
      </c>
      <c r="B2129" s="6" t="str">
        <f>T("D'UNE PUISSANCE N'EXCEDANT PAS 650 KVA")</f>
        <v>D'UNE PUISSANCE N'EXCEDANT PAS 650 KVA</v>
      </c>
      <c r="C2129" s="1"/>
      <c r="D2129" s="1"/>
    </row>
    <row r="2130" spans="1:4" x14ac:dyDescent="0.25">
      <c r="B2130" t="str">
        <f>T("   Gabon")</f>
        <v xml:space="preserve">   Gabon</v>
      </c>
      <c r="C2130" s="2">
        <v>36</v>
      </c>
      <c r="D2130" s="2">
        <v>3334085</v>
      </c>
    </row>
    <row r="2131" spans="1:4" s="6" customFormat="1" x14ac:dyDescent="0.25">
      <c r="B2131" s="6" t="str">
        <f>T("   Total Monde")</f>
        <v xml:space="preserve">   Total Monde</v>
      </c>
      <c r="C2131" s="1">
        <v>36</v>
      </c>
      <c r="D2131" s="1">
        <v>3334085</v>
      </c>
    </row>
    <row r="2132" spans="1:4" s="6" customFormat="1" x14ac:dyDescent="0.25">
      <c r="A2132" s="6" t="str">
        <f>T("850422")</f>
        <v>850422</v>
      </c>
      <c r="B2132" s="6" t="str">
        <f>T("D'UNE PUISSANCE EXCEDANT 650 KVA MAIS N'EXCEDANT PAS 10.000 KVA")</f>
        <v>D'UNE PUISSANCE EXCEDANT 650 KVA MAIS N'EXCEDANT PAS 10.000 KVA</v>
      </c>
      <c r="C2132" s="1"/>
      <c r="D2132" s="1"/>
    </row>
    <row r="2133" spans="1:4" x14ac:dyDescent="0.25">
      <c r="B2133" t="str">
        <f>T("   Gabon")</f>
        <v xml:space="preserve">   Gabon</v>
      </c>
      <c r="C2133" s="2">
        <v>662</v>
      </c>
      <c r="D2133" s="2">
        <v>5591372</v>
      </c>
    </row>
    <row r="2134" spans="1:4" x14ac:dyDescent="0.25">
      <c r="B2134" t="str">
        <f>T("   Pays-bas")</f>
        <v xml:space="preserve">   Pays-bas</v>
      </c>
      <c r="C2134" s="2">
        <v>10000</v>
      </c>
      <c r="D2134" s="2">
        <v>112884747</v>
      </c>
    </row>
    <row r="2135" spans="1:4" s="6" customFormat="1" x14ac:dyDescent="0.25">
      <c r="B2135" s="6" t="str">
        <f>T("   Total Monde")</f>
        <v xml:space="preserve">   Total Monde</v>
      </c>
      <c r="C2135" s="1">
        <v>10662</v>
      </c>
      <c r="D2135" s="1">
        <v>118476119</v>
      </c>
    </row>
    <row r="2136" spans="1:4" s="6" customFormat="1" x14ac:dyDescent="0.25">
      <c r="A2136" s="6" t="str">
        <f>T("850431")</f>
        <v>850431</v>
      </c>
      <c r="B2136" s="6" t="str">
        <f>T("D'UNE PUISSANCE N'EXCEDANT PAS 1 KVA")</f>
        <v>D'UNE PUISSANCE N'EXCEDANT PAS 1 KVA</v>
      </c>
      <c r="C2136" s="1"/>
      <c r="D2136" s="1"/>
    </row>
    <row r="2137" spans="1:4" x14ac:dyDescent="0.25">
      <c r="B2137" t="str">
        <f>T("   Emirats Arabes Unis")</f>
        <v xml:space="preserve">   Emirats Arabes Unis</v>
      </c>
      <c r="C2137" s="2">
        <v>8886.2099999999991</v>
      </c>
      <c r="D2137" s="2">
        <v>52140257</v>
      </c>
    </row>
    <row r="2138" spans="1:4" s="6" customFormat="1" x14ac:dyDescent="0.25">
      <c r="B2138" s="6" t="str">
        <f>T("   Total Monde")</f>
        <v xml:space="preserve">   Total Monde</v>
      </c>
      <c r="C2138" s="1">
        <v>8886.2099999999991</v>
      </c>
      <c r="D2138" s="1">
        <v>52140257</v>
      </c>
    </row>
    <row r="2139" spans="1:4" s="6" customFormat="1" x14ac:dyDescent="0.25">
      <c r="A2139" s="6" t="str">
        <f>T("850433")</f>
        <v>850433</v>
      </c>
      <c r="B2139" s="6" t="str">
        <f>T("D'UNE PUISSANCE EXCEDANT 16 KVA MAIS N'EXCEDANT PAS 500 KVA")</f>
        <v>D'UNE PUISSANCE EXCEDANT 16 KVA MAIS N'EXCEDANT PAS 500 KVA</v>
      </c>
      <c r="C2139" s="1"/>
      <c r="D2139" s="1"/>
    </row>
    <row r="2140" spans="1:4" x14ac:dyDescent="0.25">
      <c r="B2140" t="str">
        <f>T("   Togo")</f>
        <v xml:space="preserve">   Togo</v>
      </c>
      <c r="C2140" s="2">
        <v>549</v>
      </c>
      <c r="D2140" s="2">
        <v>5810596</v>
      </c>
    </row>
    <row r="2141" spans="1:4" s="6" customFormat="1" x14ac:dyDescent="0.25">
      <c r="B2141" s="6" t="str">
        <f>T("   Total Monde")</f>
        <v xml:space="preserve">   Total Monde</v>
      </c>
      <c r="C2141" s="1">
        <v>549</v>
      </c>
      <c r="D2141" s="1">
        <v>5810596</v>
      </c>
    </row>
    <row r="2142" spans="1:4" s="6" customFormat="1" x14ac:dyDescent="0.25">
      <c r="A2142" s="6" t="str">
        <f>T("850434")</f>
        <v>850434</v>
      </c>
      <c r="B2142" s="6" t="str">
        <f>T("D'UNE PUISSANCE EXCEDANT 500 KVA")</f>
        <v>D'UNE PUISSANCE EXCEDANT 500 KVA</v>
      </c>
      <c r="C2142" s="1"/>
      <c r="D2142" s="1"/>
    </row>
    <row r="2143" spans="1:4" x14ac:dyDescent="0.25">
      <c r="B2143" t="str">
        <f>T("   Chine")</f>
        <v xml:space="preserve">   Chine</v>
      </c>
      <c r="C2143" s="2">
        <v>52650</v>
      </c>
      <c r="D2143" s="2">
        <v>591825813</v>
      </c>
    </row>
    <row r="2144" spans="1:4" s="6" customFormat="1" x14ac:dyDescent="0.25">
      <c r="B2144" s="6" t="str">
        <f>T("   Total Monde")</f>
        <v xml:space="preserve">   Total Monde</v>
      </c>
      <c r="C2144" s="1">
        <v>52650</v>
      </c>
      <c r="D2144" s="1">
        <v>591825813</v>
      </c>
    </row>
    <row r="2145" spans="1:4" s="6" customFormat="1" x14ac:dyDescent="0.25">
      <c r="A2145" s="6" t="str">
        <f>T("850440")</f>
        <v>850440</v>
      </c>
      <c r="B2145" s="6" t="str">
        <f>T("CONVERTISSEURS STATIQUES")</f>
        <v>CONVERTISSEURS STATIQUES</v>
      </c>
      <c r="C2145" s="1"/>
      <c r="D2145" s="1"/>
    </row>
    <row r="2146" spans="1:4" x14ac:dyDescent="0.25">
      <c r="B2146" t="str">
        <f>T("   Gabon")</f>
        <v xml:space="preserve">   Gabon</v>
      </c>
      <c r="C2146" s="2">
        <v>26</v>
      </c>
      <c r="D2146" s="2">
        <v>2467790</v>
      </c>
    </row>
    <row r="2147" spans="1:4" x14ac:dyDescent="0.25">
      <c r="B2147" t="str">
        <f>T("   Royaume-Uni")</f>
        <v xml:space="preserve">   Royaume-Uni</v>
      </c>
      <c r="C2147" s="2">
        <v>3745</v>
      </c>
      <c r="D2147" s="2">
        <v>55467607</v>
      </c>
    </row>
    <row r="2148" spans="1:4" s="6" customFormat="1" x14ac:dyDescent="0.25">
      <c r="B2148" s="6" t="str">
        <f>T("   Total Monde")</f>
        <v xml:space="preserve">   Total Monde</v>
      </c>
      <c r="C2148" s="1">
        <v>3771</v>
      </c>
      <c r="D2148" s="1">
        <v>57935397</v>
      </c>
    </row>
    <row r="2149" spans="1:4" s="6" customFormat="1" x14ac:dyDescent="0.25">
      <c r="A2149" s="6" t="str">
        <f>T("850490")</f>
        <v>850490</v>
      </c>
      <c r="B2149" s="6" t="str">
        <f>T("PARTIES")</f>
        <v>PARTIES</v>
      </c>
      <c r="C2149" s="1"/>
      <c r="D2149" s="1"/>
    </row>
    <row r="2150" spans="1:4" x14ac:dyDescent="0.25">
      <c r="B2150" t="str">
        <f>T("   Norvège")</f>
        <v xml:space="preserve">   Norvège</v>
      </c>
      <c r="C2150" s="2">
        <v>3</v>
      </c>
      <c r="D2150" s="2">
        <v>2510100</v>
      </c>
    </row>
    <row r="2151" spans="1:4" s="6" customFormat="1" x14ac:dyDescent="0.25">
      <c r="B2151" s="6" t="str">
        <f>T("   Total Monde")</f>
        <v xml:space="preserve">   Total Monde</v>
      </c>
      <c r="C2151" s="1">
        <v>3</v>
      </c>
      <c r="D2151" s="1">
        <v>2510100</v>
      </c>
    </row>
    <row r="2152" spans="1:4" s="6" customFormat="1" x14ac:dyDescent="0.25">
      <c r="A2152" s="6" t="str">
        <f>T("850511")</f>
        <v>850511</v>
      </c>
      <c r="B2152" s="6" t="str">
        <f>T("EN METAL")</f>
        <v>EN METAL</v>
      </c>
      <c r="C2152" s="1"/>
      <c r="D2152" s="1"/>
    </row>
    <row r="2153" spans="1:4" x14ac:dyDescent="0.25">
      <c r="B2153" t="str">
        <f>T("   Etats-Unis")</f>
        <v xml:space="preserve">   Etats-Unis</v>
      </c>
      <c r="C2153" s="2">
        <v>77</v>
      </c>
      <c r="D2153" s="2">
        <v>1685343</v>
      </c>
    </row>
    <row r="2154" spans="1:4" s="6" customFormat="1" x14ac:dyDescent="0.25">
      <c r="B2154" s="6" t="str">
        <f>T("   Total Monde")</f>
        <v xml:space="preserve">   Total Monde</v>
      </c>
      <c r="C2154" s="1">
        <v>77</v>
      </c>
      <c r="D2154" s="1">
        <v>1685343</v>
      </c>
    </row>
    <row r="2155" spans="1:4" s="6" customFormat="1" x14ac:dyDescent="0.25">
      <c r="A2155" s="6" t="str">
        <f>T("850520")</f>
        <v>850520</v>
      </c>
      <c r="B2155" s="6" t="str">
        <f>T("ACCOUPLEMENTS, EMBRAYAGES, VARIATEURS DE VITESSE ET FREINS ELECTROMAGNETIQUES")</f>
        <v>ACCOUPLEMENTS, EMBRAYAGES, VARIATEURS DE VITESSE ET FREINS ELECTROMAGNETIQUES</v>
      </c>
      <c r="C2155" s="1"/>
      <c r="D2155" s="1"/>
    </row>
    <row r="2156" spans="1:4" x14ac:dyDescent="0.25">
      <c r="B2156" t="str">
        <f>T("   Turquie")</f>
        <v xml:space="preserve">   Turquie</v>
      </c>
      <c r="C2156" s="2">
        <v>21</v>
      </c>
      <c r="D2156" s="2">
        <v>196788</v>
      </c>
    </row>
    <row r="2157" spans="1:4" s="6" customFormat="1" x14ac:dyDescent="0.25">
      <c r="B2157" s="6" t="str">
        <f>T("   Total Monde")</f>
        <v xml:space="preserve">   Total Monde</v>
      </c>
      <c r="C2157" s="1">
        <v>21</v>
      </c>
      <c r="D2157" s="1">
        <v>196788</v>
      </c>
    </row>
    <row r="2158" spans="1:4" s="6" customFormat="1" x14ac:dyDescent="0.25">
      <c r="A2158" s="6" t="str">
        <f>T("850590")</f>
        <v>850590</v>
      </c>
      <c r="B2158" s="6" t="str">
        <f>T("AUTRES, Y COMPRIS LES PARTIES")</f>
        <v>AUTRES, Y COMPRIS LES PARTIES</v>
      </c>
      <c r="C2158" s="1"/>
      <c r="D2158" s="1"/>
    </row>
    <row r="2159" spans="1:4" x14ac:dyDescent="0.25">
      <c r="B2159" t="str">
        <f>T("   Pays-bas")</f>
        <v xml:space="preserve">   Pays-bas</v>
      </c>
      <c r="C2159" s="2">
        <v>289</v>
      </c>
      <c r="D2159" s="2">
        <v>1220240</v>
      </c>
    </row>
    <row r="2160" spans="1:4" x14ac:dyDescent="0.25">
      <c r="B2160" t="str">
        <f>T("   Turquie")</f>
        <v xml:space="preserve">   Turquie</v>
      </c>
      <c r="C2160" s="2">
        <v>23</v>
      </c>
      <c r="D2160" s="2">
        <v>347775</v>
      </c>
    </row>
    <row r="2161" spans="1:4" s="6" customFormat="1" x14ac:dyDescent="0.25">
      <c r="B2161" s="6" t="str">
        <f>T("   Total Monde")</f>
        <v xml:space="preserve">   Total Monde</v>
      </c>
      <c r="C2161" s="1">
        <v>312</v>
      </c>
      <c r="D2161" s="1">
        <v>1568015</v>
      </c>
    </row>
    <row r="2162" spans="1:4" s="6" customFormat="1" x14ac:dyDescent="0.25">
      <c r="A2162" s="6" t="str">
        <f>T("850650")</f>
        <v>850650</v>
      </c>
      <c r="B2162" s="6" t="str">
        <f>T("AU LITHIUM")</f>
        <v>AU LITHIUM</v>
      </c>
      <c r="C2162" s="1"/>
      <c r="D2162" s="1"/>
    </row>
    <row r="2163" spans="1:4" x14ac:dyDescent="0.25">
      <c r="B2163" t="str">
        <f>T("   Gabon")</f>
        <v xml:space="preserve">   Gabon</v>
      </c>
      <c r="C2163" s="2">
        <v>189</v>
      </c>
      <c r="D2163" s="2">
        <v>2846969</v>
      </c>
    </row>
    <row r="2164" spans="1:4" x14ac:dyDescent="0.25">
      <c r="B2164" t="str">
        <f>T("   Pays-bas")</f>
        <v xml:space="preserve">   Pays-bas</v>
      </c>
      <c r="C2164" s="2">
        <v>8</v>
      </c>
      <c r="D2164" s="2">
        <v>16766150</v>
      </c>
    </row>
    <row r="2165" spans="1:4" s="6" customFormat="1" x14ac:dyDescent="0.25">
      <c r="B2165" s="6" t="str">
        <f>T("   Total Monde")</f>
        <v xml:space="preserve">   Total Monde</v>
      </c>
      <c r="C2165" s="1">
        <v>197</v>
      </c>
      <c r="D2165" s="1">
        <v>19613119</v>
      </c>
    </row>
    <row r="2166" spans="1:4" s="6" customFormat="1" x14ac:dyDescent="0.25">
      <c r="A2166" s="6" t="str">
        <f>T("850680")</f>
        <v>850680</v>
      </c>
      <c r="B2166" s="6" t="str">
        <f>T("AUTRES PILES ET BATTERIES DE PILES")</f>
        <v>AUTRES PILES ET BATTERIES DE PILES</v>
      </c>
      <c r="C2166" s="1"/>
      <c r="D2166" s="1"/>
    </row>
    <row r="2167" spans="1:4" x14ac:dyDescent="0.25">
      <c r="B2167" t="str">
        <f>T("   Norvège")</f>
        <v xml:space="preserve">   Norvège</v>
      </c>
      <c r="C2167" s="2">
        <v>5.3</v>
      </c>
      <c r="D2167" s="2">
        <v>1243401</v>
      </c>
    </row>
    <row r="2168" spans="1:4" s="6" customFormat="1" x14ac:dyDescent="0.25">
      <c r="B2168" s="6" t="str">
        <f>T("   Total Monde")</f>
        <v xml:space="preserve">   Total Monde</v>
      </c>
      <c r="C2168" s="1">
        <v>5.3</v>
      </c>
      <c r="D2168" s="1">
        <v>1243401</v>
      </c>
    </row>
    <row r="2169" spans="1:4" s="6" customFormat="1" x14ac:dyDescent="0.25">
      <c r="A2169" s="6" t="str">
        <f>T("850780")</f>
        <v>850780</v>
      </c>
      <c r="B2169" s="6" t="str">
        <f>T("AUTRES ACCUMULATEURS")</f>
        <v>AUTRES ACCUMULATEURS</v>
      </c>
      <c r="C2169" s="1"/>
      <c r="D2169" s="1"/>
    </row>
    <row r="2170" spans="1:4" x14ac:dyDescent="0.25">
      <c r="B2170" t="str">
        <f>T("   Cameroun")</f>
        <v xml:space="preserve">   Cameroun</v>
      </c>
      <c r="C2170" s="2">
        <v>7230</v>
      </c>
      <c r="D2170" s="2">
        <v>10000000</v>
      </c>
    </row>
    <row r="2171" spans="1:4" x14ac:dyDescent="0.25">
      <c r="B2171" t="str">
        <f>T("   Royaume-Uni")</f>
        <v xml:space="preserve">   Royaume-Uni</v>
      </c>
      <c r="C2171" s="2">
        <v>4</v>
      </c>
      <c r="D2171" s="2">
        <v>8669466</v>
      </c>
    </row>
    <row r="2172" spans="1:4" x14ac:dyDescent="0.25">
      <c r="B2172" t="str">
        <f>T("   Niger")</f>
        <v xml:space="preserve">   Niger</v>
      </c>
      <c r="C2172" s="2">
        <v>2500</v>
      </c>
      <c r="D2172" s="2">
        <v>4915000</v>
      </c>
    </row>
    <row r="2173" spans="1:4" x14ac:dyDescent="0.25">
      <c r="B2173" t="str">
        <f>T("   Pays-bas")</f>
        <v xml:space="preserve">   Pays-bas</v>
      </c>
      <c r="C2173" s="2">
        <v>14</v>
      </c>
      <c r="D2173" s="2">
        <v>20176709</v>
      </c>
    </row>
    <row r="2174" spans="1:4" x14ac:dyDescent="0.25">
      <c r="B2174" t="str">
        <f>T("   Norvège")</f>
        <v xml:space="preserve">   Norvège</v>
      </c>
      <c r="C2174" s="2">
        <v>1</v>
      </c>
      <c r="D2174" s="2">
        <v>1111802</v>
      </c>
    </row>
    <row r="2175" spans="1:4" s="6" customFormat="1" x14ac:dyDescent="0.25">
      <c r="B2175" s="6" t="str">
        <f>T("   Total Monde")</f>
        <v xml:space="preserve">   Total Monde</v>
      </c>
      <c r="C2175" s="1">
        <v>9749</v>
      </c>
      <c r="D2175" s="1">
        <v>44872977</v>
      </c>
    </row>
    <row r="2176" spans="1:4" s="6" customFormat="1" x14ac:dyDescent="0.25">
      <c r="A2176" s="6" t="str">
        <f>T("850790")</f>
        <v>850790</v>
      </c>
      <c r="B2176" s="6" t="str">
        <f>T("PARTIES")</f>
        <v>PARTIES</v>
      </c>
      <c r="C2176" s="1"/>
      <c r="D2176" s="1"/>
    </row>
    <row r="2177" spans="1:4" x14ac:dyDescent="0.25">
      <c r="B2177" t="str">
        <f>T("   Etats-Unis")</f>
        <v xml:space="preserve">   Etats-Unis</v>
      </c>
      <c r="C2177" s="2">
        <v>3</v>
      </c>
      <c r="D2177" s="2">
        <v>1546963</v>
      </c>
    </row>
    <row r="2178" spans="1:4" s="6" customFormat="1" x14ac:dyDescent="0.25">
      <c r="B2178" s="6" t="str">
        <f>T("   Total Monde")</f>
        <v xml:space="preserve">   Total Monde</v>
      </c>
      <c r="C2178" s="1">
        <v>3</v>
      </c>
      <c r="D2178" s="1">
        <v>1546963</v>
      </c>
    </row>
    <row r="2179" spans="1:4" s="6" customFormat="1" x14ac:dyDescent="0.25">
      <c r="A2179" s="6" t="str">
        <f>T("850980")</f>
        <v>850980</v>
      </c>
      <c r="B2179" s="6" t="str">
        <f>T("AUTRES APPAREILS")</f>
        <v>AUTRES APPAREILS</v>
      </c>
      <c r="C2179" s="1"/>
      <c r="D2179" s="1"/>
    </row>
    <row r="2180" spans="1:4" x14ac:dyDescent="0.25">
      <c r="B2180" t="str">
        <f>T("   Congo (Brazzaville)")</f>
        <v xml:space="preserve">   Congo (Brazzaville)</v>
      </c>
      <c r="C2180" s="2">
        <v>15000</v>
      </c>
      <c r="D2180" s="2">
        <v>5550000</v>
      </c>
    </row>
    <row r="2181" spans="1:4" x14ac:dyDescent="0.25">
      <c r="B2181" t="str">
        <f>T("   France")</f>
        <v xml:space="preserve">   France</v>
      </c>
      <c r="C2181" s="2">
        <v>44</v>
      </c>
      <c r="D2181" s="2">
        <v>655960</v>
      </c>
    </row>
    <row r="2182" spans="1:4" s="6" customFormat="1" x14ac:dyDescent="0.25">
      <c r="B2182" s="6" t="str">
        <f>T("   Total Monde")</f>
        <v xml:space="preserve">   Total Monde</v>
      </c>
      <c r="C2182" s="1">
        <v>15044</v>
      </c>
      <c r="D2182" s="1">
        <v>6205960</v>
      </c>
    </row>
    <row r="2183" spans="1:4" s="6" customFormat="1" x14ac:dyDescent="0.25">
      <c r="A2183" s="6" t="str">
        <f>T("851130")</f>
        <v>851130</v>
      </c>
      <c r="B2183" s="6" t="str">
        <f>T("DISTRIBUTEURS; BOBINES D'ALLUMAGE")</f>
        <v>DISTRIBUTEURS; BOBINES D'ALLUMAGE</v>
      </c>
      <c r="C2183" s="1"/>
      <c r="D2183" s="1"/>
    </row>
    <row r="2184" spans="1:4" x14ac:dyDescent="0.25">
      <c r="B2184" t="str">
        <f>T("   Côte d'Ivoire")</f>
        <v xml:space="preserve">   Côte d'Ivoire</v>
      </c>
      <c r="C2184" s="2">
        <v>30</v>
      </c>
      <c r="D2184" s="2">
        <v>600000</v>
      </c>
    </row>
    <row r="2185" spans="1:4" s="6" customFormat="1" x14ac:dyDescent="0.25">
      <c r="B2185" s="6" t="str">
        <f>T("   Total Monde")</f>
        <v xml:space="preserve">   Total Monde</v>
      </c>
      <c r="C2185" s="1">
        <v>30</v>
      </c>
      <c r="D2185" s="1">
        <v>600000</v>
      </c>
    </row>
    <row r="2186" spans="1:4" s="6" customFormat="1" x14ac:dyDescent="0.25">
      <c r="A2186" s="6" t="str">
        <f>T("851140")</f>
        <v>851140</v>
      </c>
      <c r="B2186" s="6" t="str">
        <f>T("Demarreurs, meme fonctionnant comme generatrices")</f>
        <v>Demarreurs, meme fonctionnant comme generatrices</v>
      </c>
      <c r="C2186" s="1"/>
      <c r="D2186" s="1"/>
    </row>
    <row r="2187" spans="1:4" x14ac:dyDescent="0.25">
      <c r="B2187" t="str">
        <f>T("   Maroc")</f>
        <v xml:space="preserve">   Maroc</v>
      </c>
      <c r="C2187" s="2">
        <v>19.399999999999999</v>
      </c>
      <c r="D2187" s="2">
        <v>100000</v>
      </c>
    </row>
    <row r="2188" spans="1:4" s="6" customFormat="1" x14ac:dyDescent="0.25">
      <c r="B2188" s="6" t="str">
        <f>T("   Total Monde")</f>
        <v xml:space="preserve">   Total Monde</v>
      </c>
      <c r="C2188" s="1">
        <v>19.399999999999999</v>
      </c>
      <c r="D2188" s="1">
        <v>100000</v>
      </c>
    </row>
    <row r="2189" spans="1:4" s="6" customFormat="1" x14ac:dyDescent="0.25">
      <c r="A2189" s="6" t="str">
        <f>T("851180")</f>
        <v>851180</v>
      </c>
      <c r="B2189" s="6" t="str">
        <f>T("AUTRES APPAREILS ET DISPOSITIFS")</f>
        <v>AUTRES APPAREILS ET DISPOSITIFS</v>
      </c>
      <c r="C2189" s="1"/>
      <c r="D2189" s="1"/>
    </row>
    <row r="2190" spans="1:4" x14ac:dyDescent="0.25">
      <c r="B2190" t="str">
        <f>T("   Pays-bas")</f>
        <v xml:space="preserve">   Pays-bas</v>
      </c>
      <c r="C2190" s="2">
        <v>2617</v>
      </c>
      <c r="D2190" s="2">
        <v>11019462</v>
      </c>
    </row>
    <row r="2191" spans="1:4" s="6" customFormat="1" x14ac:dyDescent="0.25">
      <c r="B2191" s="6" t="str">
        <f>T("   Total Monde")</f>
        <v xml:space="preserve">   Total Monde</v>
      </c>
      <c r="C2191" s="1">
        <v>2617</v>
      </c>
      <c r="D2191" s="1">
        <v>11019462</v>
      </c>
    </row>
    <row r="2192" spans="1:4" s="6" customFormat="1" x14ac:dyDescent="0.25">
      <c r="A2192" s="6" t="str">
        <f>T("851220")</f>
        <v>851220</v>
      </c>
      <c r="B2192" s="6" t="str">
        <f>T("AUTRES APPAREILS D'ECLAIRAGE OU DE SIGNALISATION VISUELLE")</f>
        <v>AUTRES APPAREILS D'ECLAIRAGE OU DE SIGNALISATION VISUELLE</v>
      </c>
      <c r="C2192" s="1"/>
      <c r="D2192" s="1"/>
    </row>
    <row r="2193" spans="1:4" x14ac:dyDescent="0.25">
      <c r="B2193" t="str">
        <f>T("   Bosnie Herzégovine")</f>
        <v xml:space="preserve">   Bosnie Herzégovine</v>
      </c>
      <c r="C2193" s="2">
        <v>17</v>
      </c>
      <c r="D2193" s="2">
        <v>2140181</v>
      </c>
    </row>
    <row r="2194" spans="1:4" x14ac:dyDescent="0.25">
      <c r="B2194" t="str">
        <f>T("   Guinée Equatoriale")</f>
        <v xml:space="preserve">   Guinée Equatoriale</v>
      </c>
      <c r="C2194" s="2">
        <v>1000</v>
      </c>
      <c r="D2194" s="2">
        <v>215155</v>
      </c>
    </row>
    <row r="2195" spans="1:4" x14ac:dyDescent="0.25">
      <c r="B2195" t="str">
        <f>T("   Pays-bas")</f>
        <v xml:space="preserve">   Pays-bas</v>
      </c>
      <c r="C2195" s="2">
        <v>34</v>
      </c>
      <c r="D2195" s="2">
        <v>4280362</v>
      </c>
    </row>
    <row r="2196" spans="1:4" x14ac:dyDescent="0.25">
      <c r="B2196" t="str">
        <f>T("   Togo")</f>
        <v xml:space="preserve">   Togo</v>
      </c>
      <c r="C2196" s="2">
        <v>250</v>
      </c>
      <c r="D2196" s="2">
        <v>250000</v>
      </c>
    </row>
    <row r="2197" spans="1:4" s="6" customFormat="1" x14ac:dyDescent="0.25">
      <c r="B2197" s="6" t="str">
        <f>T("   Total Monde")</f>
        <v xml:space="preserve">   Total Monde</v>
      </c>
      <c r="C2197" s="1">
        <v>1301</v>
      </c>
      <c r="D2197" s="1">
        <v>6885698</v>
      </c>
    </row>
    <row r="2198" spans="1:4" s="6" customFormat="1" x14ac:dyDescent="0.25">
      <c r="A2198" s="6" t="str">
        <f>T("851310")</f>
        <v>851310</v>
      </c>
      <c r="B2198" s="6" t="str">
        <f>T("LAMPES")</f>
        <v>LAMPES</v>
      </c>
      <c r="C2198" s="1"/>
      <c r="D2198" s="1"/>
    </row>
    <row r="2199" spans="1:4" x14ac:dyDescent="0.25">
      <c r="B2199" t="str">
        <f>T("   Gabon")</f>
        <v xml:space="preserve">   Gabon</v>
      </c>
      <c r="C2199" s="2">
        <v>762</v>
      </c>
      <c r="D2199" s="2">
        <v>4303097</v>
      </c>
    </row>
    <row r="2200" spans="1:4" x14ac:dyDescent="0.25">
      <c r="B2200" t="str">
        <f>T("   Pays-bas")</f>
        <v xml:space="preserve">   Pays-bas</v>
      </c>
      <c r="C2200" s="2">
        <v>7086</v>
      </c>
      <c r="D2200" s="2">
        <v>50427902</v>
      </c>
    </row>
    <row r="2201" spans="1:4" s="6" customFormat="1" x14ac:dyDescent="0.25">
      <c r="B2201" s="6" t="str">
        <f>T("   Total Monde")</f>
        <v xml:space="preserve">   Total Monde</v>
      </c>
      <c r="C2201" s="1">
        <v>7848</v>
      </c>
      <c r="D2201" s="1">
        <v>54730999</v>
      </c>
    </row>
    <row r="2202" spans="1:4" s="6" customFormat="1" x14ac:dyDescent="0.25">
      <c r="A2202" s="6" t="str">
        <f>T("851430")</f>
        <v>851430</v>
      </c>
      <c r="B2202" s="6" t="str">
        <f>T("AUTRES FOURS")</f>
        <v>AUTRES FOURS</v>
      </c>
      <c r="C2202" s="1"/>
      <c r="D2202" s="1"/>
    </row>
    <row r="2203" spans="1:4" x14ac:dyDescent="0.25">
      <c r="B2203" t="str">
        <f>T("   Togo")</f>
        <v xml:space="preserve">   Togo</v>
      </c>
      <c r="C2203" s="2">
        <v>6920</v>
      </c>
      <c r="D2203" s="2">
        <v>1450000</v>
      </c>
    </row>
    <row r="2204" spans="1:4" s="6" customFormat="1" x14ac:dyDescent="0.25">
      <c r="B2204" s="6" t="str">
        <f>T("   Total Monde")</f>
        <v xml:space="preserve">   Total Monde</v>
      </c>
      <c r="C2204" s="1">
        <v>6920</v>
      </c>
      <c r="D2204" s="1">
        <v>1450000</v>
      </c>
    </row>
    <row r="2205" spans="1:4" s="6" customFormat="1" x14ac:dyDescent="0.25">
      <c r="A2205" s="6" t="str">
        <f>T("851440")</f>
        <v>851440</v>
      </c>
      <c r="B2205" s="6" t="str">
        <f>T("AUTRES APPAREILS POUR LE TRAITEMENT THERMIQUE DES MATIERES PAR INDUCTION OU PAR PERTE")</f>
        <v>AUTRES APPAREILS POUR LE TRAITEMENT THERMIQUE DES MATIERES PAR INDUCTION OU PAR PERTE</v>
      </c>
      <c r="C2205" s="1"/>
      <c r="D2205" s="1"/>
    </row>
    <row r="2206" spans="1:4" x14ac:dyDescent="0.25">
      <c r="B2206" t="str">
        <f>T("   Malaisie")</f>
        <v xml:space="preserve">   Malaisie</v>
      </c>
      <c r="C2206" s="2">
        <v>18461</v>
      </c>
      <c r="D2206" s="2">
        <v>99315315</v>
      </c>
    </row>
    <row r="2207" spans="1:4" s="6" customFormat="1" x14ac:dyDescent="0.25">
      <c r="B2207" s="6" t="str">
        <f>T("   Total Monde")</f>
        <v xml:space="preserve">   Total Monde</v>
      </c>
      <c r="C2207" s="1">
        <v>18461</v>
      </c>
      <c r="D2207" s="1">
        <v>99315315</v>
      </c>
    </row>
    <row r="2208" spans="1:4" s="6" customFormat="1" x14ac:dyDescent="0.25">
      <c r="A2208" s="6" t="str">
        <f>T("851490")</f>
        <v>851490</v>
      </c>
      <c r="B2208" s="6" t="str">
        <f>T("PARTIES")</f>
        <v>PARTIES</v>
      </c>
      <c r="C2208" s="1"/>
      <c r="D2208" s="1"/>
    </row>
    <row r="2209" spans="1:4" x14ac:dyDescent="0.25">
      <c r="B2209" t="str">
        <f>T("   Malaisie")</f>
        <v xml:space="preserve">   Malaisie</v>
      </c>
      <c r="C2209" s="2">
        <v>22006</v>
      </c>
      <c r="D2209" s="2">
        <v>6232662</v>
      </c>
    </row>
    <row r="2210" spans="1:4" s="6" customFormat="1" x14ac:dyDescent="0.25">
      <c r="B2210" s="6" t="str">
        <f>T("   Total Monde")</f>
        <v xml:space="preserve">   Total Monde</v>
      </c>
      <c r="C2210" s="1">
        <v>22006</v>
      </c>
      <c r="D2210" s="1">
        <v>6232662</v>
      </c>
    </row>
    <row r="2211" spans="1:4" s="6" customFormat="1" x14ac:dyDescent="0.25">
      <c r="A2211" s="6" t="str">
        <f>T("851531")</f>
        <v>851531</v>
      </c>
      <c r="B2211" s="6" t="str">
        <f>T("ENTIEREMENT OU PARTIELLEMENT AUTOMATIQUES")</f>
        <v>ENTIEREMENT OU PARTIELLEMENT AUTOMATIQUES</v>
      </c>
      <c r="C2211" s="1"/>
      <c r="D2211" s="1"/>
    </row>
    <row r="2212" spans="1:4" x14ac:dyDescent="0.25">
      <c r="B2212" t="str">
        <f>T("   Togo")</f>
        <v xml:space="preserve">   Togo</v>
      </c>
      <c r="C2212" s="2">
        <v>150</v>
      </c>
      <c r="D2212" s="2">
        <v>1881899</v>
      </c>
    </row>
    <row r="2213" spans="1:4" s="6" customFormat="1" x14ac:dyDescent="0.25">
      <c r="B2213" s="6" t="str">
        <f>T("   Total Monde")</f>
        <v xml:space="preserve">   Total Monde</v>
      </c>
      <c r="C2213" s="1">
        <v>150</v>
      </c>
      <c r="D2213" s="1">
        <v>1881899</v>
      </c>
    </row>
    <row r="2214" spans="1:4" s="6" customFormat="1" x14ac:dyDescent="0.25">
      <c r="A2214" s="6" t="str">
        <f>T("851539")</f>
        <v>851539</v>
      </c>
      <c r="B2214" s="6" t="str">
        <f>T("AUTRES")</f>
        <v>AUTRES</v>
      </c>
      <c r="C2214" s="1"/>
      <c r="D2214" s="1"/>
    </row>
    <row r="2215" spans="1:4" x14ac:dyDescent="0.25">
      <c r="B2215" t="str">
        <f>T("   Togo")</f>
        <v xml:space="preserve">   Togo</v>
      </c>
      <c r="C2215" s="2">
        <v>1780</v>
      </c>
      <c r="D2215" s="2">
        <v>5945158</v>
      </c>
    </row>
    <row r="2216" spans="1:4" s="6" customFormat="1" x14ac:dyDescent="0.25">
      <c r="B2216" s="6" t="str">
        <f>T("   Total Monde")</f>
        <v xml:space="preserve">   Total Monde</v>
      </c>
      <c r="C2216" s="1">
        <v>1780</v>
      </c>
      <c r="D2216" s="1">
        <v>5945158</v>
      </c>
    </row>
    <row r="2217" spans="1:4" s="6" customFormat="1" x14ac:dyDescent="0.25">
      <c r="A2217" s="6" t="str">
        <f>T("851580")</f>
        <v>851580</v>
      </c>
      <c r="B2217" s="6" t="str">
        <f>T("AUTRES MACHINES ET APPAREILS")</f>
        <v>AUTRES MACHINES ET APPAREILS</v>
      </c>
      <c r="C2217" s="1"/>
      <c r="D2217" s="1"/>
    </row>
    <row r="2218" spans="1:4" x14ac:dyDescent="0.25">
      <c r="B2218" t="str">
        <f>T("   Togo")</f>
        <v xml:space="preserve">   Togo</v>
      </c>
      <c r="C2218" s="2">
        <v>1578</v>
      </c>
      <c r="D2218" s="2">
        <v>12402701</v>
      </c>
    </row>
    <row r="2219" spans="1:4" s="6" customFormat="1" x14ac:dyDescent="0.25">
      <c r="B2219" s="6" t="str">
        <f>T("   Total Monde")</f>
        <v xml:space="preserve">   Total Monde</v>
      </c>
      <c r="C2219" s="1">
        <v>1578</v>
      </c>
      <c r="D2219" s="1">
        <v>12402701</v>
      </c>
    </row>
    <row r="2220" spans="1:4" s="6" customFormat="1" x14ac:dyDescent="0.25">
      <c r="A2220" s="6" t="str">
        <f>T("851640")</f>
        <v>851640</v>
      </c>
      <c r="B2220" s="6" t="str">
        <f>T("Fers a repasser electriques")</f>
        <v>Fers a repasser electriques</v>
      </c>
      <c r="C2220" s="1"/>
      <c r="D2220" s="1"/>
    </row>
    <row r="2221" spans="1:4" x14ac:dyDescent="0.25">
      <c r="B2221" t="str">
        <f>T("   Togo")</f>
        <v xml:space="preserve">   Togo</v>
      </c>
      <c r="C2221" s="2">
        <v>300</v>
      </c>
      <c r="D2221" s="2">
        <v>200000</v>
      </c>
    </row>
    <row r="2222" spans="1:4" s="6" customFormat="1" x14ac:dyDescent="0.25">
      <c r="B2222" s="6" t="str">
        <f>T("   Total Monde")</f>
        <v xml:space="preserve">   Total Monde</v>
      </c>
      <c r="C2222" s="1">
        <v>300</v>
      </c>
      <c r="D2222" s="1">
        <v>200000</v>
      </c>
    </row>
    <row r="2223" spans="1:4" s="6" customFormat="1" x14ac:dyDescent="0.25">
      <c r="A2223" s="6" t="str">
        <f>T("851660")</f>
        <v>851660</v>
      </c>
      <c r="B2223" s="6" t="str">
        <f>T("AUTRES FOURS; CUISINIERES, RECHAUDS (Y COMPRIS LES TABLES DE CUISSON), GRILS ET ROTIS")</f>
        <v>AUTRES FOURS; CUISINIERES, RECHAUDS (Y COMPRIS LES TABLES DE CUISSON), GRILS ET ROTIS</v>
      </c>
      <c r="C2223" s="1"/>
      <c r="D2223" s="1"/>
    </row>
    <row r="2224" spans="1:4" x14ac:dyDescent="0.25">
      <c r="B2224" t="str">
        <f>T("   France")</f>
        <v xml:space="preserve">   France</v>
      </c>
      <c r="C2224" s="2">
        <v>365</v>
      </c>
      <c r="D2224" s="2">
        <v>2722234</v>
      </c>
    </row>
    <row r="2225" spans="1:4" x14ac:dyDescent="0.25">
      <c r="B2225" t="str">
        <f>T("   Guinée Equatoriale")</f>
        <v xml:space="preserve">   Guinée Equatoriale</v>
      </c>
      <c r="C2225" s="2">
        <v>200</v>
      </c>
      <c r="D2225" s="2">
        <v>98394</v>
      </c>
    </row>
    <row r="2226" spans="1:4" s="6" customFormat="1" x14ac:dyDescent="0.25">
      <c r="B2226" s="6" t="str">
        <f>T("   Total Monde")</f>
        <v xml:space="preserve">   Total Monde</v>
      </c>
      <c r="C2226" s="1">
        <v>565</v>
      </c>
      <c r="D2226" s="1">
        <v>2820628</v>
      </c>
    </row>
    <row r="2227" spans="1:4" s="6" customFormat="1" x14ac:dyDescent="0.25">
      <c r="A2227" s="6" t="str">
        <f>T("851718")</f>
        <v>851718</v>
      </c>
      <c r="B2227" s="6" t="str">
        <f>T("AUTRES")</f>
        <v>AUTRES</v>
      </c>
      <c r="C2227" s="1"/>
      <c r="D2227" s="1"/>
    </row>
    <row r="2228" spans="1:4" x14ac:dyDescent="0.25">
      <c r="B2228" t="str">
        <f>T("   Afrique du Sud")</f>
        <v xml:space="preserve">   Afrique du Sud</v>
      </c>
      <c r="C2228" s="2">
        <v>48130</v>
      </c>
      <c r="D2228" s="2">
        <v>1269833</v>
      </c>
    </row>
    <row r="2229" spans="1:4" s="6" customFormat="1" x14ac:dyDescent="0.25">
      <c r="B2229" s="6" t="str">
        <f>T("   Total Monde")</f>
        <v xml:space="preserve">   Total Monde</v>
      </c>
      <c r="C2229" s="1">
        <v>48130</v>
      </c>
      <c r="D2229" s="1">
        <v>1269833</v>
      </c>
    </row>
    <row r="2230" spans="1:4" s="6" customFormat="1" x14ac:dyDescent="0.25">
      <c r="A2230" s="6" t="str">
        <f>T("851769")</f>
        <v>851769</v>
      </c>
      <c r="B2230" s="6" t="str">
        <f>T("AUTRES")</f>
        <v>AUTRES</v>
      </c>
      <c r="C2230" s="1"/>
      <c r="D2230" s="1"/>
    </row>
    <row r="2231" spans="1:4" x14ac:dyDescent="0.25">
      <c r="B2231" t="str">
        <f>T("   Gabon")</f>
        <v xml:space="preserve">   Gabon</v>
      </c>
      <c r="C2231" s="2">
        <v>72</v>
      </c>
      <c r="D2231" s="2">
        <v>2151924</v>
      </c>
    </row>
    <row r="2232" spans="1:4" x14ac:dyDescent="0.25">
      <c r="B2232" t="str">
        <f>T("   Royaume-Uni")</f>
        <v xml:space="preserve">   Royaume-Uni</v>
      </c>
      <c r="C2232" s="2">
        <v>727</v>
      </c>
      <c r="D2232" s="2">
        <v>10769491</v>
      </c>
    </row>
    <row r="2233" spans="1:4" x14ac:dyDescent="0.25">
      <c r="B2233" t="str">
        <f>T("   Nigéria")</f>
        <v xml:space="preserve">   Nigéria</v>
      </c>
      <c r="C2233" s="2">
        <v>484</v>
      </c>
      <c r="D2233" s="2">
        <v>33473701</v>
      </c>
    </row>
    <row r="2234" spans="1:4" s="6" customFormat="1" x14ac:dyDescent="0.25">
      <c r="B2234" s="6" t="str">
        <f>T("   Total Monde")</f>
        <v xml:space="preserve">   Total Monde</v>
      </c>
      <c r="C2234" s="1">
        <v>1283</v>
      </c>
      <c r="D2234" s="1">
        <v>46395116</v>
      </c>
    </row>
    <row r="2235" spans="1:4" s="6" customFormat="1" x14ac:dyDescent="0.25">
      <c r="A2235" s="6" t="str">
        <f>T("851770")</f>
        <v>851770</v>
      </c>
      <c r="B2235" s="6" t="str">
        <f>T("PARTIES")</f>
        <v>PARTIES</v>
      </c>
      <c r="C2235" s="1"/>
      <c r="D2235" s="1"/>
    </row>
    <row r="2236" spans="1:4" x14ac:dyDescent="0.25">
      <c r="B2236" t="str">
        <f>T("   Turquie")</f>
        <v xml:space="preserve">   Turquie</v>
      </c>
      <c r="C2236" s="2">
        <v>25909</v>
      </c>
      <c r="D2236" s="2">
        <v>409018577</v>
      </c>
    </row>
    <row r="2237" spans="1:4" s="6" customFormat="1" x14ac:dyDescent="0.25">
      <c r="B2237" s="6" t="str">
        <f>T("   Total Monde")</f>
        <v xml:space="preserve">   Total Monde</v>
      </c>
      <c r="C2237" s="1">
        <v>25909</v>
      </c>
      <c r="D2237" s="1">
        <v>409018577</v>
      </c>
    </row>
    <row r="2238" spans="1:4" s="6" customFormat="1" x14ac:dyDescent="0.25">
      <c r="A2238" s="6" t="str">
        <f>T("852321")</f>
        <v>852321</v>
      </c>
      <c r="B2238" s="6" t="str">
        <f>T("CARTES MUNIES D'UNE PISTE MAGNETIQUE")</f>
        <v>CARTES MUNIES D'UNE PISTE MAGNETIQUE</v>
      </c>
      <c r="C2238" s="1"/>
      <c r="D2238" s="1"/>
    </row>
    <row r="2239" spans="1:4" x14ac:dyDescent="0.25">
      <c r="B2239" t="str">
        <f>T("   Etats-Unis")</f>
        <v xml:space="preserve">   Etats-Unis</v>
      </c>
      <c r="C2239" s="2">
        <v>1100</v>
      </c>
      <c r="D2239" s="2">
        <v>14239826</v>
      </c>
    </row>
    <row r="2240" spans="1:4" s="6" customFormat="1" x14ac:dyDescent="0.25">
      <c r="B2240" s="6" t="str">
        <f>T("   Total Monde")</f>
        <v xml:space="preserve">   Total Monde</v>
      </c>
      <c r="C2240" s="1">
        <v>1100</v>
      </c>
      <c r="D2240" s="1">
        <v>14239826</v>
      </c>
    </row>
    <row r="2241" spans="1:4" s="6" customFormat="1" x14ac:dyDescent="0.25">
      <c r="A2241" s="6" t="str">
        <f>T("852380")</f>
        <v>852380</v>
      </c>
      <c r="B2241" s="6" t="str">
        <f>T("AUTRES")</f>
        <v>AUTRES</v>
      </c>
      <c r="C2241" s="1"/>
      <c r="D2241" s="1"/>
    </row>
    <row r="2242" spans="1:4" x14ac:dyDescent="0.25">
      <c r="B2242" t="str">
        <f>T("   France")</f>
        <v xml:space="preserve">   France</v>
      </c>
      <c r="C2242" s="2">
        <v>1</v>
      </c>
      <c r="D2242" s="2">
        <v>7872</v>
      </c>
    </row>
    <row r="2243" spans="1:4" s="6" customFormat="1" x14ac:dyDescent="0.25">
      <c r="B2243" s="6" t="str">
        <f>T("   Total Monde")</f>
        <v xml:space="preserve">   Total Monde</v>
      </c>
      <c r="C2243" s="1">
        <v>1</v>
      </c>
      <c r="D2243" s="1">
        <v>7872</v>
      </c>
    </row>
    <row r="2244" spans="1:4" s="6" customFormat="1" x14ac:dyDescent="0.25">
      <c r="A2244" s="6" t="str">
        <f>T("852550")</f>
        <v>852550</v>
      </c>
      <c r="B2244" s="6" t="str">
        <f>T("APPAREILS D'EMISSION")</f>
        <v>APPAREILS D'EMISSION</v>
      </c>
      <c r="C2244" s="1"/>
      <c r="D2244" s="1"/>
    </row>
    <row r="2245" spans="1:4" x14ac:dyDescent="0.25">
      <c r="B2245" t="str">
        <f>T("   Côte d'Ivoire")</f>
        <v xml:space="preserve">   Côte d'Ivoire</v>
      </c>
      <c r="C2245" s="2">
        <v>577</v>
      </c>
      <c r="D2245" s="2">
        <v>2762880</v>
      </c>
    </row>
    <row r="2246" spans="1:4" x14ac:dyDescent="0.25">
      <c r="B2246" t="str">
        <f>T("   France")</f>
        <v xml:space="preserve">   France</v>
      </c>
      <c r="C2246" s="2">
        <v>100.7</v>
      </c>
      <c r="D2246" s="2">
        <v>1200000</v>
      </c>
    </row>
    <row r="2247" spans="1:4" x14ac:dyDescent="0.25">
      <c r="B2247" t="str">
        <f>T("   Pays-bas")</f>
        <v xml:space="preserve">   Pays-bas</v>
      </c>
      <c r="C2247" s="2">
        <v>2</v>
      </c>
      <c r="D2247" s="2">
        <v>2190533</v>
      </c>
    </row>
    <row r="2248" spans="1:4" s="6" customFormat="1" x14ac:dyDescent="0.25">
      <c r="B2248" s="6" t="str">
        <f>T("   Total Monde")</f>
        <v xml:space="preserve">   Total Monde</v>
      </c>
      <c r="C2248" s="1">
        <v>679.7</v>
      </c>
      <c r="D2248" s="1">
        <v>6153413</v>
      </c>
    </row>
    <row r="2249" spans="1:4" s="6" customFormat="1" x14ac:dyDescent="0.25">
      <c r="A2249" s="6" t="str">
        <f>T("852560")</f>
        <v>852560</v>
      </c>
      <c r="B2249" s="6" t="str">
        <f>T("APPAREILS D'EMISSION INCORPORANT UN APPAREIL DE RECEPTION")</f>
        <v>APPAREILS D'EMISSION INCORPORANT UN APPAREIL DE RECEPTION</v>
      </c>
      <c r="C2249" s="1"/>
      <c r="D2249" s="1"/>
    </row>
    <row r="2250" spans="1:4" x14ac:dyDescent="0.25">
      <c r="B2250" t="str">
        <f>T("   Gabon")</f>
        <v xml:space="preserve">   Gabon</v>
      </c>
      <c r="C2250" s="2">
        <v>25</v>
      </c>
      <c r="D2250" s="2">
        <v>2271103</v>
      </c>
    </row>
    <row r="2251" spans="1:4" x14ac:dyDescent="0.25">
      <c r="B2251" t="str">
        <f>T("   Nigéria")</f>
        <v xml:space="preserve">   Nigéria</v>
      </c>
      <c r="C2251" s="2">
        <v>1036</v>
      </c>
      <c r="D2251" s="2">
        <v>19841843</v>
      </c>
    </row>
    <row r="2252" spans="1:4" x14ac:dyDescent="0.25">
      <c r="B2252" t="str">
        <f>T("   Etats-Unis")</f>
        <v xml:space="preserve">   Etats-Unis</v>
      </c>
      <c r="C2252" s="2">
        <v>200</v>
      </c>
      <c r="D2252" s="2">
        <v>248948</v>
      </c>
    </row>
    <row r="2253" spans="1:4" s="6" customFormat="1" x14ac:dyDescent="0.25">
      <c r="B2253" s="6" t="str">
        <f>T("   Total Monde")</f>
        <v xml:space="preserve">   Total Monde</v>
      </c>
      <c r="C2253" s="1">
        <v>1261</v>
      </c>
      <c r="D2253" s="1">
        <v>22361894</v>
      </c>
    </row>
    <row r="2254" spans="1:4" s="6" customFormat="1" x14ac:dyDescent="0.25">
      <c r="A2254" s="6" t="str">
        <f>T("852610")</f>
        <v>852610</v>
      </c>
      <c r="B2254" s="6" t="str">
        <f>T("Appareils de radiodetection et de radiosondage (radar)")</f>
        <v>Appareils de radiodetection et de radiosondage (radar)</v>
      </c>
      <c r="C2254" s="1"/>
      <c r="D2254" s="1"/>
    </row>
    <row r="2255" spans="1:4" x14ac:dyDescent="0.25">
      <c r="B2255" t="str">
        <f>T("   Canada")</f>
        <v xml:space="preserve">   Canada</v>
      </c>
      <c r="C2255" s="2">
        <v>1</v>
      </c>
      <c r="D2255" s="2">
        <v>1863318</v>
      </c>
    </row>
    <row r="2256" spans="1:4" s="6" customFormat="1" x14ac:dyDescent="0.25">
      <c r="B2256" s="6" t="str">
        <f>T("   Total Monde")</f>
        <v xml:space="preserve">   Total Monde</v>
      </c>
      <c r="C2256" s="1">
        <v>1</v>
      </c>
      <c r="D2256" s="1">
        <v>1863318</v>
      </c>
    </row>
    <row r="2257" spans="1:4" s="6" customFormat="1" x14ac:dyDescent="0.25">
      <c r="A2257" s="6" t="str">
        <f>T("852691")</f>
        <v>852691</v>
      </c>
      <c r="B2257" s="6" t="str">
        <f>T("Appareils de radionavigation")</f>
        <v>Appareils de radionavigation</v>
      </c>
      <c r="C2257" s="1"/>
      <c r="D2257" s="1"/>
    </row>
    <row r="2258" spans="1:4" x14ac:dyDescent="0.25">
      <c r="B2258" t="str">
        <f>T("   Allemagne")</f>
        <v xml:space="preserve">   Allemagne</v>
      </c>
      <c r="C2258" s="2">
        <v>16</v>
      </c>
      <c r="D2258" s="2">
        <v>327980</v>
      </c>
    </row>
    <row r="2259" spans="1:4" s="6" customFormat="1" x14ac:dyDescent="0.25">
      <c r="B2259" s="6" t="str">
        <f>T("   Total Monde")</f>
        <v xml:space="preserve">   Total Monde</v>
      </c>
      <c r="C2259" s="1">
        <v>16</v>
      </c>
      <c r="D2259" s="1">
        <v>327980</v>
      </c>
    </row>
    <row r="2260" spans="1:4" s="6" customFormat="1" x14ac:dyDescent="0.25">
      <c r="A2260" s="6" t="str">
        <f>T("852812")</f>
        <v>852812</v>
      </c>
      <c r="B2260" s="6" t="str">
        <f>T("APPAREILS RECEPTEURS DE TELEVISION EN COULEUR")</f>
        <v>APPAREILS RECEPTEURS DE TELEVISION EN COULEUR</v>
      </c>
      <c r="C2260" s="1"/>
      <c r="D2260" s="1"/>
    </row>
    <row r="2261" spans="1:4" x14ac:dyDescent="0.25">
      <c r="B2261" t="str">
        <f>T("   Nigéria")</f>
        <v xml:space="preserve">   Nigéria</v>
      </c>
      <c r="C2261" s="2">
        <v>5370</v>
      </c>
      <c r="D2261" s="2">
        <v>6080000</v>
      </c>
    </row>
    <row r="2262" spans="1:4" s="6" customFormat="1" x14ac:dyDescent="0.25">
      <c r="B2262" s="6" t="str">
        <f>T("   Total Monde")</f>
        <v xml:space="preserve">   Total Monde</v>
      </c>
      <c r="C2262" s="1">
        <v>5370</v>
      </c>
      <c r="D2262" s="1">
        <v>6080000</v>
      </c>
    </row>
    <row r="2263" spans="1:4" s="6" customFormat="1" x14ac:dyDescent="0.25">
      <c r="A2263" s="6" t="str">
        <f>T("852849")</f>
        <v>852849</v>
      </c>
      <c r="B2263" s="6" t="str">
        <f>T("AUTRES")</f>
        <v>AUTRES</v>
      </c>
      <c r="C2263" s="1"/>
      <c r="D2263" s="1"/>
    </row>
    <row r="2264" spans="1:4" x14ac:dyDescent="0.25">
      <c r="B2264" t="str">
        <f>T("   Sénégal")</f>
        <v xml:space="preserve">   Sénégal</v>
      </c>
      <c r="C2264" s="2">
        <v>20</v>
      </c>
      <c r="D2264" s="2">
        <v>50000</v>
      </c>
    </row>
    <row r="2265" spans="1:4" s="6" customFormat="1" x14ac:dyDescent="0.25">
      <c r="B2265" s="6" t="str">
        <f>T("   Total Monde")</f>
        <v xml:space="preserve">   Total Monde</v>
      </c>
      <c r="C2265" s="1">
        <v>20</v>
      </c>
      <c r="D2265" s="1">
        <v>50000</v>
      </c>
    </row>
    <row r="2266" spans="1:4" s="6" customFormat="1" x14ac:dyDescent="0.25">
      <c r="A2266" s="6" t="str">
        <f>T("852910")</f>
        <v>852910</v>
      </c>
      <c r="B2266" s="6" t="str">
        <f>T("ANTENNES ET REFLECTEURS D’ANTENNES DE TOUS TYPES; PARTIES RECONNAISSABLES COMME ETANT")</f>
        <v>ANTENNES ET REFLECTEURS D’ANTENNES DE TOUS TYPES; PARTIES RECONNAISSABLES COMME ETANT</v>
      </c>
      <c r="C2266" s="1"/>
      <c r="D2266" s="1"/>
    </row>
    <row r="2267" spans="1:4" x14ac:dyDescent="0.25">
      <c r="B2267" t="str">
        <f>T("   France")</f>
        <v xml:space="preserve">   France</v>
      </c>
      <c r="C2267" s="2">
        <v>1</v>
      </c>
      <c r="D2267" s="2">
        <v>426374</v>
      </c>
    </row>
    <row r="2268" spans="1:4" s="6" customFormat="1" x14ac:dyDescent="0.25">
      <c r="B2268" s="6" t="str">
        <f>T("   Total Monde")</f>
        <v xml:space="preserve">   Total Monde</v>
      </c>
      <c r="C2268" s="1">
        <v>1</v>
      </c>
      <c r="D2268" s="1">
        <v>426374</v>
      </c>
    </row>
    <row r="2269" spans="1:4" s="6" customFormat="1" x14ac:dyDescent="0.25">
      <c r="A2269" s="6" t="str">
        <f>T("852990")</f>
        <v>852990</v>
      </c>
      <c r="B2269" s="6" t="str">
        <f>T("AUTRES")</f>
        <v>AUTRES</v>
      </c>
      <c r="C2269" s="1"/>
      <c r="D2269" s="1"/>
    </row>
    <row r="2270" spans="1:4" x14ac:dyDescent="0.25">
      <c r="B2270" t="str">
        <f>T("   Nigéria")</f>
        <v xml:space="preserve">   Nigéria</v>
      </c>
      <c r="C2270" s="2">
        <v>72</v>
      </c>
      <c r="D2270" s="2">
        <v>5111247</v>
      </c>
    </row>
    <row r="2271" spans="1:4" x14ac:dyDescent="0.25">
      <c r="B2271" t="str">
        <f>T("   Pays-bas")</f>
        <v xml:space="preserve">   Pays-bas</v>
      </c>
      <c r="C2271" s="2">
        <v>360</v>
      </c>
      <c r="D2271" s="2">
        <v>129631506</v>
      </c>
    </row>
    <row r="2272" spans="1:4" s="6" customFormat="1" x14ac:dyDescent="0.25">
      <c r="B2272" s="6" t="str">
        <f>T("   Total Monde")</f>
        <v xml:space="preserve">   Total Monde</v>
      </c>
      <c r="C2272" s="1">
        <v>432</v>
      </c>
      <c r="D2272" s="1">
        <v>134742753</v>
      </c>
    </row>
    <row r="2273" spans="1:4" s="6" customFormat="1" x14ac:dyDescent="0.25">
      <c r="A2273" s="6" t="str">
        <f>T("853180")</f>
        <v>853180</v>
      </c>
      <c r="B2273" s="6" t="str">
        <f>T("AUTRES APPAREILS")</f>
        <v>AUTRES APPAREILS</v>
      </c>
      <c r="C2273" s="1"/>
      <c r="D2273" s="1"/>
    </row>
    <row r="2274" spans="1:4" x14ac:dyDescent="0.25">
      <c r="B2274" t="str">
        <f>T("   Gabon")</f>
        <v xml:space="preserve">   Gabon</v>
      </c>
      <c r="C2274" s="2">
        <v>500</v>
      </c>
      <c r="D2274" s="2">
        <v>500000</v>
      </c>
    </row>
    <row r="2275" spans="1:4" x14ac:dyDescent="0.25">
      <c r="B2275" t="str">
        <f>T("   Royaume-Uni")</f>
        <v xml:space="preserve">   Royaume-Uni</v>
      </c>
      <c r="C2275" s="2">
        <v>14</v>
      </c>
      <c r="D2275" s="2">
        <v>208120</v>
      </c>
    </row>
    <row r="2276" spans="1:4" s="6" customFormat="1" x14ac:dyDescent="0.25">
      <c r="B2276" s="6" t="str">
        <f>T("   Total Monde")</f>
        <v xml:space="preserve">   Total Monde</v>
      </c>
      <c r="C2276" s="1">
        <v>514</v>
      </c>
      <c r="D2276" s="1">
        <v>708120</v>
      </c>
    </row>
    <row r="2277" spans="1:4" s="6" customFormat="1" x14ac:dyDescent="0.25">
      <c r="A2277" s="6" t="str">
        <f>T("853510")</f>
        <v>853510</v>
      </c>
      <c r="B2277" s="6" t="str">
        <f>T("FUSIBLES ET COUPECIRCUIT A FUSIBLES")</f>
        <v>FUSIBLES ET COUPECIRCUIT A FUSIBLES</v>
      </c>
      <c r="C2277" s="1"/>
      <c r="D2277" s="1"/>
    </row>
    <row r="2278" spans="1:4" x14ac:dyDescent="0.25">
      <c r="B2278" t="str">
        <f>T("   France")</f>
        <v xml:space="preserve">   France</v>
      </c>
      <c r="C2278" s="2">
        <v>2</v>
      </c>
      <c r="D2278" s="2">
        <v>11347826</v>
      </c>
    </row>
    <row r="2279" spans="1:4" s="6" customFormat="1" x14ac:dyDescent="0.25">
      <c r="B2279" s="6" t="str">
        <f>T("   Total Monde")</f>
        <v xml:space="preserve">   Total Monde</v>
      </c>
      <c r="C2279" s="1">
        <v>2</v>
      </c>
      <c r="D2279" s="1">
        <v>11347826</v>
      </c>
    </row>
    <row r="2280" spans="1:4" s="6" customFormat="1" x14ac:dyDescent="0.25">
      <c r="A2280" s="6" t="str">
        <f>T("853590")</f>
        <v>853590</v>
      </c>
      <c r="B2280" s="6" t="str">
        <f>T("AUTRES")</f>
        <v>AUTRES</v>
      </c>
      <c r="C2280" s="1"/>
      <c r="D2280" s="1"/>
    </row>
    <row r="2281" spans="1:4" x14ac:dyDescent="0.25">
      <c r="B2281" t="str">
        <f>T("   Norvège")</f>
        <v xml:space="preserve">   Norvège</v>
      </c>
      <c r="C2281" s="2">
        <v>1</v>
      </c>
      <c r="D2281" s="2">
        <v>1328745</v>
      </c>
    </row>
    <row r="2282" spans="1:4" s="6" customFormat="1" x14ac:dyDescent="0.25">
      <c r="B2282" s="6" t="str">
        <f>T("   Total Monde")</f>
        <v xml:space="preserve">   Total Monde</v>
      </c>
      <c r="C2282" s="1">
        <v>1</v>
      </c>
      <c r="D2282" s="1">
        <v>1328745</v>
      </c>
    </row>
    <row r="2283" spans="1:4" s="6" customFormat="1" x14ac:dyDescent="0.25">
      <c r="A2283" s="6" t="str">
        <f>T("853641")</f>
        <v>853641</v>
      </c>
      <c r="B2283" s="6" t="str">
        <f>T("POUR UNE TENSION N'EXCEDANT PAS 60 V")</f>
        <v>POUR UNE TENSION N'EXCEDANT PAS 60 V</v>
      </c>
      <c r="C2283" s="1"/>
      <c r="D2283" s="1"/>
    </row>
    <row r="2284" spans="1:4" x14ac:dyDescent="0.25">
      <c r="B2284" t="str">
        <f>T("   Royaume-Uni")</f>
        <v xml:space="preserve">   Royaume-Uni</v>
      </c>
      <c r="C2284" s="2">
        <v>1106</v>
      </c>
      <c r="D2284" s="2">
        <v>16374804</v>
      </c>
    </row>
    <row r="2285" spans="1:4" s="6" customFormat="1" x14ac:dyDescent="0.25">
      <c r="B2285" s="6" t="str">
        <f>T("   Total Monde")</f>
        <v xml:space="preserve">   Total Monde</v>
      </c>
      <c r="C2285" s="1">
        <v>1106</v>
      </c>
      <c r="D2285" s="1">
        <v>16374804</v>
      </c>
    </row>
    <row r="2286" spans="1:4" s="6" customFormat="1" x14ac:dyDescent="0.25">
      <c r="A2286" s="6" t="str">
        <f>T("853650")</f>
        <v>853650</v>
      </c>
      <c r="B2286" s="6" t="str">
        <f>T("AUTRES INTERRUPTEURS, SECTIONNEURS ET COMMUTATEURS")</f>
        <v>AUTRES INTERRUPTEURS, SECTIONNEURS ET COMMUTATEURS</v>
      </c>
      <c r="C2286" s="1"/>
      <c r="D2286" s="1"/>
    </row>
    <row r="2287" spans="1:4" x14ac:dyDescent="0.25">
      <c r="B2287" t="str">
        <f>T("   Gabon")</f>
        <v xml:space="preserve">   Gabon</v>
      </c>
      <c r="C2287" s="2">
        <v>2.0499999999999998</v>
      </c>
      <c r="D2287" s="2">
        <v>2053063</v>
      </c>
    </row>
    <row r="2288" spans="1:4" s="6" customFormat="1" x14ac:dyDescent="0.25">
      <c r="B2288" s="6" t="str">
        <f>T("   Total Monde")</f>
        <v xml:space="preserve">   Total Monde</v>
      </c>
      <c r="C2288" s="1">
        <v>2.0499999999999998</v>
      </c>
      <c r="D2288" s="1">
        <v>2053063</v>
      </c>
    </row>
    <row r="2289" spans="1:4" s="6" customFormat="1" x14ac:dyDescent="0.25">
      <c r="A2289" s="6" t="str">
        <f>T("853669")</f>
        <v>853669</v>
      </c>
      <c r="B2289" s="6" t="str">
        <f>T("AUTRES")</f>
        <v>AUTRES</v>
      </c>
      <c r="C2289" s="1"/>
      <c r="D2289" s="1"/>
    </row>
    <row r="2290" spans="1:4" x14ac:dyDescent="0.25">
      <c r="B2290" t="str">
        <f>T("   Pays-bas")</f>
        <v xml:space="preserve">   Pays-bas</v>
      </c>
      <c r="C2290" s="2">
        <v>26</v>
      </c>
      <c r="D2290" s="2">
        <v>36258824</v>
      </c>
    </row>
    <row r="2291" spans="1:4" s="6" customFormat="1" x14ac:dyDescent="0.25">
      <c r="B2291" s="6" t="str">
        <f>T("   Total Monde")</f>
        <v xml:space="preserve">   Total Monde</v>
      </c>
      <c r="C2291" s="1">
        <v>26</v>
      </c>
      <c r="D2291" s="1">
        <v>36258824</v>
      </c>
    </row>
    <row r="2292" spans="1:4" s="6" customFormat="1" x14ac:dyDescent="0.25">
      <c r="A2292" s="6" t="str">
        <f>T("853690")</f>
        <v>853690</v>
      </c>
      <c r="B2292" s="6" t="str">
        <f>T("AUTRES APPAREILS")</f>
        <v>AUTRES APPAREILS</v>
      </c>
      <c r="C2292" s="1"/>
      <c r="D2292" s="1"/>
    </row>
    <row r="2293" spans="1:4" x14ac:dyDescent="0.25">
      <c r="B2293" t="str">
        <f>T("   France")</f>
        <v xml:space="preserve">   France</v>
      </c>
      <c r="C2293" s="2">
        <v>3</v>
      </c>
      <c r="D2293" s="2">
        <v>2633679</v>
      </c>
    </row>
    <row r="2294" spans="1:4" x14ac:dyDescent="0.25">
      <c r="B2294" t="str">
        <f>T("   Gabon")</f>
        <v xml:space="preserve">   Gabon</v>
      </c>
      <c r="C2294" s="2">
        <v>18972.060000000001</v>
      </c>
      <c r="D2294" s="2">
        <v>1295818355</v>
      </c>
    </row>
    <row r="2295" spans="1:4" s="6" customFormat="1" x14ac:dyDescent="0.25">
      <c r="B2295" s="6" t="str">
        <f>T("   Total Monde")</f>
        <v xml:space="preserve">   Total Monde</v>
      </c>
      <c r="C2295" s="1">
        <v>18975.060000000001</v>
      </c>
      <c r="D2295" s="1">
        <v>1298452034</v>
      </c>
    </row>
    <row r="2296" spans="1:4" s="6" customFormat="1" x14ac:dyDescent="0.25">
      <c r="A2296" s="6" t="str">
        <f>T("853710")</f>
        <v>853710</v>
      </c>
      <c r="B2296" s="6" t="str">
        <f>T("POUR UNE TENSION N'EXCEDANT PAS 1.000 V")</f>
        <v>POUR UNE TENSION N'EXCEDANT PAS 1.000 V</v>
      </c>
      <c r="C2296" s="1"/>
      <c r="D2296" s="1"/>
    </row>
    <row r="2297" spans="1:4" x14ac:dyDescent="0.25">
      <c r="B2297" t="str">
        <f>T("   Gabon")</f>
        <v xml:space="preserve">   Gabon</v>
      </c>
      <c r="C2297" s="2">
        <v>6131</v>
      </c>
      <c r="D2297" s="2">
        <v>34634688</v>
      </c>
    </row>
    <row r="2298" spans="1:4" x14ac:dyDescent="0.25">
      <c r="B2298" t="str">
        <f>T("   Pays-bas")</f>
        <v xml:space="preserve">   Pays-bas</v>
      </c>
      <c r="C2298" s="2">
        <v>5</v>
      </c>
      <c r="D2298" s="2">
        <v>3758776</v>
      </c>
    </row>
    <row r="2299" spans="1:4" x14ac:dyDescent="0.25">
      <c r="B2299" t="str">
        <f>T("   Swaziland")</f>
        <v xml:space="preserve">   Swaziland</v>
      </c>
      <c r="C2299" s="2">
        <v>93</v>
      </c>
      <c r="D2299" s="2">
        <v>5597347</v>
      </c>
    </row>
    <row r="2300" spans="1:4" s="6" customFormat="1" x14ac:dyDescent="0.25">
      <c r="B2300" s="6" t="str">
        <f>T("   Total Monde")</f>
        <v xml:space="preserve">   Total Monde</v>
      </c>
      <c r="C2300" s="1">
        <v>6229</v>
      </c>
      <c r="D2300" s="1">
        <v>43990811</v>
      </c>
    </row>
    <row r="2301" spans="1:4" s="6" customFormat="1" x14ac:dyDescent="0.25">
      <c r="A2301" s="6" t="str">
        <f>T("853890")</f>
        <v>853890</v>
      </c>
      <c r="B2301" s="6" t="str">
        <f>T("AUTRES")</f>
        <v>AUTRES</v>
      </c>
      <c r="C2301" s="1"/>
      <c r="D2301" s="1"/>
    </row>
    <row r="2302" spans="1:4" x14ac:dyDescent="0.25">
      <c r="B2302" t="str">
        <f>T("   France")</f>
        <v xml:space="preserve">   France</v>
      </c>
      <c r="C2302" s="2">
        <v>23</v>
      </c>
      <c r="D2302" s="2">
        <v>517316</v>
      </c>
    </row>
    <row r="2303" spans="1:4" s="6" customFormat="1" x14ac:dyDescent="0.25">
      <c r="B2303" s="6" t="str">
        <f>T("   Total Monde")</f>
        <v xml:space="preserve">   Total Monde</v>
      </c>
      <c r="C2303" s="1">
        <v>23</v>
      </c>
      <c r="D2303" s="1">
        <v>517316</v>
      </c>
    </row>
    <row r="2304" spans="1:4" s="6" customFormat="1" x14ac:dyDescent="0.25">
      <c r="A2304" s="6" t="str">
        <f>T("853910")</f>
        <v>853910</v>
      </c>
      <c r="B2304" s="6" t="str">
        <f>T("ARTICLES DITS «PHARES ET PROJECTEURS SCELLES»")</f>
        <v>ARTICLES DITS «PHARES ET PROJECTEURS SCELLES»</v>
      </c>
      <c r="C2304" s="1"/>
      <c r="D2304" s="1"/>
    </row>
    <row r="2305" spans="1:4" x14ac:dyDescent="0.25">
      <c r="B2305" t="str">
        <f>T("   Togo")</f>
        <v xml:space="preserve">   Togo</v>
      </c>
      <c r="C2305" s="2">
        <v>2920</v>
      </c>
      <c r="D2305" s="2">
        <v>2265427</v>
      </c>
    </row>
    <row r="2306" spans="1:4" s="6" customFormat="1" x14ac:dyDescent="0.25">
      <c r="B2306" s="6" t="str">
        <f>T("   Total Monde")</f>
        <v xml:space="preserve">   Total Monde</v>
      </c>
      <c r="C2306" s="1">
        <v>2920</v>
      </c>
      <c r="D2306" s="1">
        <v>2265427</v>
      </c>
    </row>
    <row r="2307" spans="1:4" s="6" customFormat="1" x14ac:dyDescent="0.25">
      <c r="A2307" s="6" t="str">
        <f>T("853922")</f>
        <v>853922</v>
      </c>
      <c r="B2307" s="6" t="str">
        <f>T("AUTRES, D’UNE PUISSANCE N’EXCEDANT PAS 200 W ET D’UNE TENSION EXCEDANT 100 V")</f>
        <v>AUTRES, D’UNE PUISSANCE N’EXCEDANT PAS 200 W ET D’UNE TENSION EXCEDANT 100 V</v>
      </c>
      <c r="C2307" s="1"/>
      <c r="D2307" s="1"/>
    </row>
    <row r="2308" spans="1:4" x14ac:dyDescent="0.25">
      <c r="B2308" t="str">
        <f>T("   Gabon")</f>
        <v xml:space="preserve">   Gabon</v>
      </c>
      <c r="C2308" s="2">
        <v>100</v>
      </c>
      <c r="D2308" s="2">
        <v>5400747</v>
      </c>
    </row>
    <row r="2309" spans="1:4" s="6" customFormat="1" x14ac:dyDescent="0.25">
      <c r="B2309" s="6" t="str">
        <f>T("   Total Monde")</f>
        <v xml:space="preserve">   Total Monde</v>
      </c>
      <c r="C2309" s="1">
        <v>100</v>
      </c>
      <c r="D2309" s="1">
        <v>5400747</v>
      </c>
    </row>
    <row r="2310" spans="1:4" s="6" customFormat="1" x14ac:dyDescent="0.25">
      <c r="A2310" s="6" t="str">
        <f>T("853931")</f>
        <v>853931</v>
      </c>
      <c r="B2310" s="6" t="str">
        <f>T("FLUORESCENTS, A CATHODE CHAUDE")</f>
        <v>FLUORESCENTS, A CATHODE CHAUDE</v>
      </c>
      <c r="C2310" s="1"/>
      <c r="D2310" s="1"/>
    </row>
    <row r="2311" spans="1:4" x14ac:dyDescent="0.25">
      <c r="B2311" t="str">
        <f>T("   Niger")</f>
        <v xml:space="preserve">   Niger</v>
      </c>
      <c r="C2311" s="2">
        <v>2139</v>
      </c>
      <c r="D2311" s="2">
        <v>1420565</v>
      </c>
    </row>
    <row r="2312" spans="1:4" s="6" customFormat="1" x14ac:dyDescent="0.25">
      <c r="B2312" s="6" t="str">
        <f>T("   Total Monde")</f>
        <v xml:space="preserve">   Total Monde</v>
      </c>
      <c r="C2312" s="1">
        <v>2139</v>
      </c>
      <c r="D2312" s="1">
        <v>1420565</v>
      </c>
    </row>
    <row r="2313" spans="1:4" s="6" customFormat="1" x14ac:dyDescent="0.25">
      <c r="A2313" s="6" t="str">
        <f>T("853939")</f>
        <v>853939</v>
      </c>
      <c r="B2313" s="6" t="str">
        <f>T("AUTRES")</f>
        <v>AUTRES</v>
      </c>
      <c r="C2313" s="1"/>
      <c r="D2313" s="1"/>
    </row>
    <row r="2314" spans="1:4" x14ac:dyDescent="0.25">
      <c r="B2314" t="str">
        <f>T("   Gabon")</f>
        <v xml:space="preserve">   Gabon</v>
      </c>
      <c r="C2314" s="2">
        <v>17</v>
      </c>
      <c r="D2314" s="2">
        <v>510779</v>
      </c>
    </row>
    <row r="2315" spans="1:4" s="6" customFormat="1" x14ac:dyDescent="0.25">
      <c r="B2315" s="6" t="str">
        <f>T("   Total Monde")</f>
        <v xml:space="preserve">   Total Monde</v>
      </c>
      <c r="C2315" s="1">
        <v>17</v>
      </c>
      <c r="D2315" s="1">
        <v>510779</v>
      </c>
    </row>
    <row r="2316" spans="1:4" s="6" customFormat="1" x14ac:dyDescent="0.25">
      <c r="A2316" s="6" t="str">
        <f>T("853949")</f>
        <v>853949</v>
      </c>
      <c r="B2316" s="6" t="str">
        <f>T("AUTRES")</f>
        <v>AUTRES</v>
      </c>
      <c r="C2316" s="1"/>
      <c r="D2316" s="1"/>
    </row>
    <row r="2317" spans="1:4" x14ac:dyDescent="0.25">
      <c r="B2317" t="str">
        <f>T("   Togo")</f>
        <v xml:space="preserve">   Togo</v>
      </c>
      <c r="C2317" s="2">
        <v>1440</v>
      </c>
      <c r="D2317" s="2">
        <v>3186534</v>
      </c>
    </row>
    <row r="2318" spans="1:4" s="6" customFormat="1" x14ac:dyDescent="0.25">
      <c r="B2318" s="6" t="str">
        <f>T("   Total Monde")</f>
        <v xml:space="preserve">   Total Monde</v>
      </c>
      <c r="C2318" s="1">
        <v>1440</v>
      </c>
      <c r="D2318" s="1">
        <v>3186534</v>
      </c>
    </row>
    <row r="2319" spans="1:4" s="6" customFormat="1" x14ac:dyDescent="0.25">
      <c r="A2319" s="6" t="str">
        <f>T("854231")</f>
        <v>854231</v>
      </c>
      <c r="B2319" s="6" t="str">
        <f>T("PROCESSEURS ET CONTROLEURS, MEME COMBINES AVEC DES MEMOIRES, DES CONVERTISSEURS, DES")</f>
        <v>PROCESSEURS ET CONTROLEURS, MEME COMBINES AVEC DES MEMOIRES, DES CONVERTISSEURS, DES</v>
      </c>
      <c r="C2319" s="1"/>
      <c r="D2319" s="1"/>
    </row>
    <row r="2320" spans="1:4" x14ac:dyDescent="0.25">
      <c r="B2320" t="str">
        <f>T("   Nigéria")</f>
        <v xml:space="preserve">   Nigéria</v>
      </c>
      <c r="C2320" s="2">
        <v>250</v>
      </c>
      <c r="D2320" s="2">
        <v>124474</v>
      </c>
    </row>
    <row r="2321" spans="1:4" s="6" customFormat="1" x14ac:dyDescent="0.25">
      <c r="B2321" s="6" t="str">
        <f>T("   Total Monde")</f>
        <v xml:space="preserve">   Total Monde</v>
      </c>
      <c r="C2321" s="1">
        <v>250</v>
      </c>
      <c r="D2321" s="1">
        <v>124474</v>
      </c>
    </row>
    <row r="2322" spans="1:4" s="6" customFormat="1" x14ac:dyDescent="0.25">
      <c r="A2322" s="6" t="str">
        <f>T("854320")</f>
        <v>854320</v>
      </c>
      <c r="B2322" s="6" t="str">
        <f>T("GENERATEURS DE SIGNAUX")</f>
        <v>GENERATEURS DE SIGNAUX</v>
      </c>
      <c r="C2322" s="1"/>
      <c r="D2322" s="1"/>
    </row>
    <row r="2323" spans="1:4" x14ac:dyDescent="0.25">
      <c r="B2323" t="str">
        <f>T("   Gabon")</f>
        <v xml:space="preserve">   Gabon</v>
      </c>
      <c r="C2323" s="2">
        <v>25</v>
      </c>
      <c r="D2323" s="2">
        <v>744746</v>
      </c>
    </row>
    <row r="2324" spans="1:4" s="6" customFormat="1" x14ac:dyDescent="0.25">
      <c r="B2324" s="6" t="str">
        <f>T("   Total Monde")</f>
        <v xml:space="preserve">   Total Monde</v>
      </c>
      <c r="C2324" s="1">
        <v>25</v>
      </c>
      <c r="D2324" s="1">
        <v>744746</v>
      </c>
    </row>
    <row r="2325" spans="1:4" s="6" customFormat="1" x14ac:dyDescent="0.25">
      <c r="A2325" s="6" t="str">
        <f>T("854370")</f>
        <v>854370</v>
      </c>
      <c r="B2325" s="6" t="str">
        <f>T("AUTRES MACHINES ET APPAREILS")</f>
        <v>AUTRES MACHINES ET APPAREILS</v>
      </c>
      <c r="C2325" s="1"/>
      <c r="D2325" s="1"/>
    </row>
    <row r="2326" spans="1:4" x14ac:dyDescent="0.25">
      <c r="B2326" t="str">
        <f>T("   France")</f>
        <v xml:space="preserve">   France</v>
      </c>
      <c r="C2326" s="2">
        <v>3.75</v>
      </c>
      <c r="D2326" s="2">
        <v>144311</v>
      </c>
    </row>
    <row r="2327" spans="1:4" x14ac:dyDescent="0.25">
      <c r="B2327" t="str">
        <f>T("   Gabon")</f>
        <v xml:space="preserve">   Gabon</v>
      </c>
      <c r="C2327" s="2">
        <v>1</v>
      </c>
      <c r="D2327" s="2">
        <v>28928</v>
      </c>
    </row>
    <row r="2328" spans="1:4" x14ac:dyDescent="0.25">
      <c r="B2328" t="str">
        <f>T("   Ghana")</f>
        <v xml:space="preserve">   Ghana</v>
      </c>
      <c r="C2328" s="2">
        <v>43</v>
      </c>
      <c r="D2328" s="2">
        <v>35985931</v>
      </c>
    </row>
    <row r="2329" spans="1:4" x14ac:dyDescent="0.25">
      <c r="B2329" t="str">
        <f>T("   Pays-bas")</f>
        <v xml:space="preserve">   Pays-bas</v>
      </c>
      <c r="C2329" s="2">
        <v>10</v>
      </c>
      <c r="D2329" s="2">
        <v>6102771</v>
      </c>
    </row>
    <row r="2330" spans="1:4" s="6" customFormat="1" x14ac:dyDescent="0.25">
      <c r="B2330" s="6" t="str">
        <f>T("   Total Monde")</f>
        <v xml:space="preserve">   Total Monde</v>
      </c>
      <c r="C2330" s="1">
        <v>57.75</v>
      </c>
      <c r="D2330" s="1">
        <v>42261941</v>
      </c>
    </row>
    <row r="2331" spans="1:4" s="6" customFormat="1" x14ac:dyDescent="0.25">
      <c r="A2331" s="6" t="str">
        <f>T("854419")</f>
        <v>854419</v>
      </c>
      <c r="B2331" s="6" t="str">
        <f>T("AUTRES")</f>
        <v>AUTRES</v>
      </c>
      <c r="C2331" s="1"/>
      <c r="D2331" s="1"/>
    </row>
    <row r="2332" spans="1:4" x14ac:dyDescent="0.25">
      <c r="B2332" t="str">
        <f>T("   Gabon")</f>
        <v xml:space="preserve">   Gabon</v>
      </c>
      <c r="C2332" s="2">
        <v>116</v>
      </c>
      <c r="D2332" s="2">
        <v>2236549</v>
      </c>
    </row>
    <row r="2333" spans="1:4" s="6" customFormat="1" x14ac:dyDescent="0.25">
      <c r="B2333" s="6" t="str">
        <f>T("   Total Monde")</f>
        <v xml:space="preserve">   Total Monde</v>
      </c>
      <c r="C2333" s="1">
        <v>116</v>
      </c>
      <c r="D2333" s="1">
        <v>2236549</v>
      </c>
    </row>
    <row r="2334" spans="1:4" s="6" customFormat="1" x14ac:dyDescent="0.25">
      <c r="A2334" s="6" t="str">
        <f>T("854420")</f>
        <v>854420</v>
      </c>
      <c r="B2334" s="6" t="str">
        <f>T("Cables coaxiaux et autres conducteurs electriques coaxiaux")</f>
        <v>Cables coaxiaux et autres conducteurs electriques coaxiaux</v>
      </c>
      <c r="C2334" s="1"/>
      <c r="D2334" s="1"/>
    </row>
    <row r="2335" spans="1:4" x14ac:dyDescent="0.25">
      <c r="B2335" t="str">
        <f>T("   Belgique")</f>
        <v xml:space="preserve">   Belgique</v>
      </c>
      <c r="C2335" s="2">
        <v>27000</v>
      </c>
      <c r="D2335" s="2">
        <v>62316200</v>
      </c>
    </row>
    <row r="2336" spans="1:4" x14ac:dyDescent="0.25">
      <c r="B2336" t="str">
        <f>T("   Gabon")</f>
        <v xml:space="preserve">   Gabon</v>
      </c>
      <c r="C2336" s="2">
        <v>369</v>
      </c>
      <c r="D2336" s="2">
        <v>4990220</v>
      </c>
    </row>
    <row r="2337" spans="1:4" x14ac:dyDescent="0.25">
      <c r="B2337" t="str">
        <f>T("   Ghana")</f>
        <v xml:space="preserve">   Ghana</v>
      </c>
      <c r="C2337" s="2">
        <v>7.5</v>
      </c>
      <c r="D2337" s="2">
        <v>499186</v>
      </c>
    </row>
    <row r="2338" spans="1:4" x14ac:dyDescent="0.25">
      <c r="B2338" t="str">
        <f>T("   Norvège")</f>
        <v xml:space="preserve">   Norvège</v>
      </c>
      <c r="C2338" s="2">
        <v>109</v>
      </c>
      <c r="D2338" s="2">
        <v>1210922</v>
      </c>
    </row>
    <row r="2339" spans="1:4" x14ac:dyDescent="0.25">
      <c r="B2339" t="str">
        <f>T("   Etats-Unis")</f>
        <v xml:space="preserve">   Etats-Unis</v>
      </c>
      <c r="C2339" s="2">
        <v>27</v>
      </c>
      <c r="D2339" s="2">
        <v>160873</v>
      </c>
    </row>
    <row r="2340" spans="1:4" s="6" customFormat="1" x14ac:dyDescent="0.25">
      <c r="B2340" s="6" t="str">
        <f>T("   Total Monde")</f>
        <v xml:space="preserve">   Total Monde</v>
      </c>
      <c r="C2340" s="1">
        <v>27512.5</v>
      </c>
      <c r="D2340" s="1">
        <v>69177401</v>
      </c>
    </row>
    <row r="2341" spans="1:4" s="6" customFormat="1" x14ac:dyDescent="0.25">
      <c r="A2341" s="6" t="str">
        <f>T("854430")</f>
        <v>854430</v>
      </c>
      <c r="B2341" s="6" t="str">
        <f>T("JEUX DE FILS POUR BOUGIES D'ALLUMAGE ET AUTRES JEUX DE FILS DES TYPES UTILISES DANS L")</f>
        <v>JEUX DE FILS POUR BOUGIES D'ALLUMAGE ET AUTRES JEUX DE FILS DES TYPES UTILISES DANS L</v>
      </c>
      <c r="C2341" s="1"/>
      <c r="D2341" s="1"/>
    </row>
    <row r="2342" spans="1:4" x14ac:dyDescent="0.25">
      <c r="B2342" t="str">
        <f>T("   Pays-bas")</f>
        <v xml:space="preserve">   Pays-bas</v>
      </c>
      <c r="C2342" s="2">
        <v>5</v>
      </c>
      <c r="D2342" s="2">
        <v>3185295</v>
      </c>
    </row>
    <row r="2343" spans="1:4" s="6" customFormat="1" x14ac:dyDescent="0.25">
      <c r="B2343" s="6" t="str">
        <f>T("   Total Monde")</f>
        <v xml:space="preserve">   Total Monde</v>
      </c>
      <c r="C2343" s="1">
        <v>5</v>
      </c>
      <c r="D2343" s="1">
        <v>3185295</v>
      </c>
    </row>
    <row r="2344" spans="1:4" s="6" customFormat="1" x14ac:dyDescent="0.25">
      <c r="A2344" s="6" t="str">
        <f>T("854442")</f>
        <v>854442</v>
      </c>
      <c r="B2344" s="6" t="str">
        <f>T("MUNIS DE PIECES DE CONNEXION")</f>
        <v>MUNIS DE PIECES DE CONNEXION</v>
      </c>
      <c r="C2344" s="1"/>
      <c r="D2344" s="1"/>
    </row>
    <row r="2345" spans="1:4" x14ac:dyDescent="0.25">
      <c r="B2345" t="str">
        <f>T("   France")</f>
        <v xml:space="preserve">   France</v>
      </c>
      <c r="C2345" s="2">
        <v>1</v>
      </c>
      <c r="D2345" s="2">
        <v>20991</v>
      </c>
    </row>
    <row r="2346" spans="1:4" s="6" customFormat="1" x14ac:dyDescent="0.25">
      <c r="B2346" s="6" t="str">
        <f>T("   Total Monde")</f>
        <v xml:space="preserve">   Total Monde</v>
      </c>
      <c r="C2346" s="1">
        <v>1</v>
      </c>
      <c r="D2346" s="1">
        <v>20991</v>
      </c>
    </row>
    <row r="2347" spans="1:4" s="6" customFormat="1" x14ac:dyDescent="0.25">
      <c r="A2347" s="6" t="str">
        <f>T("854470")</f>
        <v>854470</v>
      </c>
      <c r="B2347" s="6" t="str">
        <f>T("Cables de fibres optiques")</f>
        <v>Cables de fibres optiques</v>
      </c>
      <c r="C2347" s="1"/>
      <c r="D2347" s="1"/>
    </row>
    <row r="2348" spans="1:4" x14ac:dyDescent="0.25">
      <c r="B2348" t="str">
        <f>T("   Congo, République Démocratique")</f>
        <v xml:space="preserve">   Congo, République Démocratique</v>
      </c>
      <c r="C2348" s="2">
        <v>6432</v>
      </c>
      <c r="D2348" s="2">
        <v>46809449</v>
      </c>
    </row>
    <row r="2349" spans="1:4" x14ac:dyDescent="0.25">
      <c r="B2349" t="str">
        <f>T("   Turquie")</f>
        <v xml:space="preserve">   Turquie</v>
      </c>
      <c r="C2349" s="2">
        <v>4100</v>
      </c>
      <c r="D2349" s="2">
        <v>7830908</v>
      </c>
    </row>
    <row r="2350" spans="1:4" s="6" customFormat="1" x14ac:dyDescent="0.25">
      <c r="B2350" s="6" t="str">
        <f>T("   Total Monde")</f>
        <v xml:space="preserve">   Total Monde</v>
      </c>
      <c r="C2350" s="1">
        <v>10532</v>
      </c>
      <c r="D2350" s="1">
        <v>54640357</v>
      </c>
    </row>
    <row r="2351" spans="1:4" s="6" customFormat="1" x14ac:dyDescent="0.25">
      <c r="A2351" s="6" t="str">
        <f>T("854810")</f>
        <v>854810</v>
      </c>
      <c r="B2351" s="6" t="str">
        <f>T("DECHETS ET DEBRIS DE PILES, DE BATTERIES DE PILES ET D'ACCUMULATEURS ELECTRIQUES; PIL")</f>
        <v>DECHETS ET DEBRIS DE PILES, DE BATTERIES DE PILES ET D'ACCUMULATEURS ELECTRIQUES; PIL</v>
      </c>
      <c r="C2351" s="1"/>
      <c r="D2351" s="1"/>
    </row>
    <row r="2352" spans="1:4" x14ac:dyDescent="0.25">
      <c r="B2352" t="str">
        <f>T("   Corée, République de")</f>
        <v xml:space="preserve">   Corée, République de</v>
      </c>
      <c r="C2352" s="2">
        <v>10000</v>
      </c>
      <c r="D2352" s="2">
        <v>1000000</v>
      </c>
    </row>
    <row r="2353" spans="1:4" s="6" customFormat="1" x14ac:dyDescent="0.25">
      <c r="B2353" s="6" t="str">
        <f>T("   Total Monde")</f>
        <v xml:space="preserve">   Total Monde</v>
      </c>
      <c r="C2353" s="1">
        <v>10000</v>
      </c>
      <c r="D2353" s="1">
        <v>1000000</v>
      </c>
    </row>
    <row r="2354" spans="1:4" s="6" customFormat="1" x14ac:dyDescent="0.25">
      <c r="A2354" s="6" t="str">
        <f>T("854890")</f>
        <v>854890</v>
      </c>
      <c r="B2354" s="6" t="str">
        <f>T("AUTRES")</f>
        <v>AUTRES</v>
      </c>
      <c r="C2354" s="1"/>
      <c r="D2354" s="1"/>
    </row>
    <row r="2355" spans="1:4" x14ac:dyDescent="0.25">
      <c r="B2355" t="str">
        <f>T("   France")</f>
        <v xml:space="preserve">   France</v>
      </c>
      <c r="C2355" s="2">
        <v>11622</v>
      </c>
      <c r="D2355" s="2">
        <v>164000</v>
      </c>
    </row>
    <row r="2356" spans="1:4" x14ac:dyDescent="0.25">
      <c r="B2356" t="str">
        <f>T("   Afrique du Sud")</f>
        <v xml:space="preserve">   Afrique du Sud</v>
      </c>
      <c r="C2356" s="2">
        <v>66400</v>
      </c>
      <c r="D2356" s="2">
        <v>398317</v>
      </c>
    </row>
    <row r="2357" spans="1:4" s="6" customFormat="1" x14ac:dyDescent="0.25">
      <c r="B2357" s="6" t="str">
        <f>T("   Total Monde")</f>
        <v xml:space="preserve">   Total Monde</v>
      </c>
      <c r="C2357" s="1">
        <v>78022</v>
      </c>
      <c r="D2357" s="1">
        <v>562317</v>
      </c>
    </row>
    <row r="2358" spans="1:4" s="6" customFormat="1" x14ac:dyDescent="0.25">
      <c r="A2358" s="6" t="str">
        <f>T("860290")</f>
        <v>860290</v>
      </c>
      <c r="B2358" s="6" t="str">
        <f>T("AUTRES")</f>
        <v>AUTRES</v>
      </c>
      <c r="C2358" s="1"/>
      <c r="D2358" s="1"/>
    </row>
    <row r="2359" spans="1:4" x14ac:dyDescent="0.25">
      <c r="B2359" t="str">
        <f>T("   Niger")</f>
        <v xml:space="preserve">   Niger</v>
      </c>
      <c r="C2359" s="2">
        <v>80000</v>
      </c>
      <c r="D2359" s="2">
        <v>263111625</v>
      </c>
    </row>
    <row r="2360" spans="1:4" s="6" customFormat="1" x14ac:dyDescent="0.25">
      <c r="B2360" s="6" t="str">
        <f>T("   Total Monde")</f>
        <v xml:space="preserve">   Total Monde</v>
      </c>
      <c r="C2360" s="1">
        <v>80000</v>
      </c>
      <c r="D2360" s="1">
        <v>263111625</v>
      </c>
    </row>
    <row r="2361" spans="1:4" s="6" customFormat="1" x14ac:dyDescent="0.25">
      <c r="A2361" s="6" t="str">
        <f>T("860400")</f>
        <v>860400</v>
      </c>
      <c r="B2361" s="6" t="str">
        <f>T("VEHICULES POUR L'ENTRETIEN OU LE SERVICE DES VOIES FERREES OU SIMILAIRES, MEME AUTOPROP")</f>
        <v>VEHICULES POUR L'ENTRETIEN OU LE SERVICE DES VOIES FERREES OU SIMILAIRES, MEME AUTOPROP</v>
      </c>
      <c r="C2361" s="1"/>
      <c r="D2361" s="1"/>
    </row>
    <row r="2362" spans="1:4" x14ac:dyDescent="0.25">
      <c r="B2362" t="str">
        <f>T("   Niger")</f>
        <v xml:space="preserve">   Niger</v>
      </c>
      <c r="C2362" s="2">
        <v>28000</v>
      </c>
      <c r="D2362" s="2">
        <v>77605316</v>
      </c>
    </row>
    <row r="2363" spans="1:4" s="6" customFormat="1" x14ac:dyDescent="0.25">
      <c r="B2363" s="6" t="str">
        <f>T("   Total Monde")</f>
        <v xml:space="preserve">   Total Monde</v>
      </c>
      <c r="C2363" s="1">
        <v>28000</v>
      </c>
      <c r="D2363" s="1">
        <v>77605316</v>
      </c>
    </row>
    <row r="2364" spans="1:4" s="6" customFormat="1" x14ac:dyDescent="0.25">
      <c r="A2364" s="6" t="str">
        <f>T("860610")</f>
        <v>860610</v>
      </c>
      <c r="B2364" s="6" t="str">
        <f>T("WAGONSCITERNES ET SIMILAIRES")</f>
        <v>WAGONSCITERNES ET SIMILAIRES</v>
      </c>
      <c r="C2364" s="1"/>
      <c r="D2364" s="1"/>
    </row>
    <row r="2365" spans="1:4" x14ac:dyDescent="0.25">
      <c r="B2365" t="str">
        <f>T("   Cameroun")</f>
        <v xml:space="preserve">   Cameroun</v>
      </c>
      <c r="C2365" s="2">
        <v>8000</v>
      </c>
      <c r="D2365" s="2">
        <v>16071020</v>
      </c>
    </row>
    <row r="2366" spans="1:4" s="6" customFormat="1" x14ac:dyDescent="0.25">
      <c r="B2366" s="6" t="str">
        <f>T("   Total Monde")</f>
        <v xml:space="preserve">   Total Monde</v>
      </c>
      <c r="C2366" s="1">
        <v>8000</v>
      </c>
      <c r="D2366" s="1">
        <v>16071020</v>
      </c>
    </row>
    <row r="2367" spans="1:4" s="6" customFormat="1" x14ac:dyDescent="0.25">
      <c r="A2367" s="6" t="str">
        <f>T("860900")</f>
        <v>860900</v>
      </c>
      <c r="B2367" s="6" t="str">
        <f>T("CADRES ET CONTENEURS (Y COMPRIS LES CONTENEURSCITERNES ET LES CONTENEURSRESERVOIRS) S")</f>
        <v>CADRES ET CONTENEURS (Y COMPRIS LES CONTENEURSCITERNES ET LES CONTENEURSRESERVOIRS) S</v>
      </c>
      <c r="C2367" s="1"/>
      <c r="D2367" s="1"/>
    </row>
    <row r="2368" spans="1:4" x14ac:dyDescent="0.25">
      <c r="B2368" t="str">
        <f>T("   France")</f>
        <v xml:space="preserve">   France</v>
      </c>
      <c r="C2368" s="2">
        <v>47200</v>
      </c>
      <c r="D2368" s="2">
        <v>414830415</v>
      </c>
    </row>
    <row r="2369" spans="1:4" x14ac:dyDescent="0.25">
      <c r="B2369" t="str">
        <f>T("   Gabon")</f>
        <v xml:space="preserve">   Gabon</v>
      </c>
      <c r="C2369" s="2">
        <v>76291</v>
      </c>
      <c r="D2369" s="2">
        <v>409609288</v>
      </c>
    </row>
    <row r="2370" spans="1:4" x14ac:dyDescent="0.25">
      <c r="B2370" t="str">
        <f>T("   Royaume-Uni")</f>
        <v xml:space="preserve">   Royaume-Uni</v>
      </c>
      <c r="C2370" s="2">
        <v>27100</v>
      </c>
      <c r="D2370" s="2">
        <v>141664108</v>
      </c>
    </row>
    <row r="2371" spans="1:4" x14ac:dyDescent="0.25">
      <c r="B2371" t="str">
        <f>T("   Ghana")</f>
        <v xml:space="preserve">   Ghana</v>
      </c>
      <c r="C2371" s="2">
        <v>418519</v>
      </c>
      <c r="D2371" s="2">
        <v>145790499</v>
      </c>
    </row>
    <row r="2372" spans="1:4" x14ac:dyDescent="0.25">
      <c r="B2372" t="str">
        <f>T("   Nigéria")</f>
        <v xml:space="preserve">   Nigéria</v>
      </c>
      <c r="C2372" s="2">
        <v>35600</v>
      </c>
      <c r="D2372" s="2">
        <v>33723492</v>
      </c>
    </row>
    <row r="2373" spans="1:4" x14ac:dyDescent="0.25">
      <c r="B2373" t="str">
        <f>T("   Turquie")</f>
        <v xml:space="preserve">   Turquie</v>
      </c>
      <c r="C2373" s="2">
        <v>84822</v>
      </c>
      <c r="D2373" s="2">
        <v>178162897</v>
      </c>
    </row>
    <row r="2374" spans="1:4" x14ac:dyDescent="0.25">
      <c r="B2374" t="str">
        <f>T("   Etats-Unis")</f>
        <v xml:space="preserve">   Etats-Unis</v>
      </c>
      <c r="C2374" s="2">
        <v>24420</v>
      </c>
      <c r="D2374" s="2">
        <v>333856672</v>
      </c>
    </row>
    <row r="2375" spans="1:4" s="6" customFormat="1" x14ac:dyDescent="0.25">
      <c r="B2375" s="6" t="str">
        <f>T("   Total Monde")</f>
        <v xml:space="preserve">   Total Monde</v>
      </c>
      <c r="C2375" s="1">
        <v>713952</v>
      </c>
      <c r="D2375" s="1">
        <v>1657637371</v>
      </c>
    </row>
    <row r="2376" spans="1:4" s="6" customFormat="1" x14ac:dyDescent="0.25">
      <c r="A2376" s="6" t="str">
        <f>T("870120")</f>
        <v>870120</v>
      </c>
      <c r="B2376" s="6" t="str">
        <f>T("TRACTEURS ROUTIERS POUR SEMIREMORQUES")</f>
        <v>TRACTEURS ROUTIERS POUR SEMIREMORQUES</v>
      </c>
      <c r="C2376" s="1"/>
      <c r="D2376" s="1"/>
    </row>
    <row r="2377" spans="1:4" x14ac:dyDescent="0.25">
      <c r="B2377" t="str">
        <f>T("   Congo (Brazzaville)")</f>
        <v xml:space="preserve">   Congo (Brazzaville)</v>
      </c>
      <c r="C2377" s="2">
        <v>2000</v>
      </c>
      <c r="D2377" s="2">
        <v>5000000</v>
      </c>
    </row>
    <row r="2378" spans="1:4" x14ac:dyDescent="0.25">
      <c r="B2378" t="str">
        <f>T("   Côte d'Ivoire")</f>
        <v xml:space="preserve">   Côte d'Ivoire</v>
      </c>
      <c r="C2378" s="2">
        <v>7004</v>
      </c>
      <c r="D2378" s="2">
        <v>10000000</v>
      </c>
    </row>
    <row r="2379" spans="1:4" x14ac:dyDescent="0.25">
      <c r="B2379" t="str">
        <f>T("   Ghana")</f>
        <v xml:space="preserve">   Ghana</v>
      </c>
      <c r="C2379" s="2">
        <v>34092</v>
      </c>
      <c r="D2379" s="2">
        <v>50442451</v>
      </c>
    </row>
    <row r="2380" spans="1:4" x14ac:dyDescent="0.25">
      <c r="B2380" t="str">
        <f>T("   Togo")</f>
        <v xml:space="preserve">   Togo</v>
      </c>
      <c r="C2380" s="2">
        <v>205000</v>
      </c>
      <c r="D2380" s="2">
        <v>48869020</v>
      </c>
    </row>
    <row r="2381" spans="1:4" s="6" customFormat="1" x14ac:dyDescent="0.25">
      <c r="B2381" s="6" t="str">
        <f>T("   Total Monde")</f>
        <v xml:space="preserve">   Total Monde</v>
      </c>
      <c r="C2381" s="1">
        <v>248096</v>
      </c>
      <c r="D2381" s="1">
        <v>114311471</v>
      </c>
    </row>
    <row r="2382" spans="1:4" s="6" customFormat="1" x14ac:dyDescent="0.25">
      <c r="A2382" s="6" t="str">
        <f>T("870130")</f>
        <v>870130</v>
      </c>
      <c r="B2382" s="6" t="str">
        <f>T("TRACTEURS A CHENILLES")</f>
        <v>TRACTEURS A CHENILLES</v>
      </c>
      <c r="C2382" s="1"/>
      <c r="D2382" s="1"/>
    </row>
    <row r="2383" spans="1:4" x14ac:dyDescent="0.25">
      <c r="B2383" t="str">
        <f>T("   Nigéria")</f>
        <v xml:space="preserve">   Nigéria</v>
      </c>
      <c r="C2383" s="2">
        <v>13299</v>
      </c>
      <c r="D2383" s="2">
        <v>73502812</v>
      </c>
    </row>
    <row r="2384" spans="1:4" s="6" customFormat="1" x14ac:dyDescent="0.25">
      <c r="B2384" s="6" t="str">
        <f>T("   Total Monde")</f>
        <v xml:space="preserve">   Total Monde</v>
      </c>
      <c r="C2384" s="1">
        <v>13299</v>
      </c>
      <c r="D2384" s="1">
        <v>73502812</v>
      </c>
    </row>
    <row r="2385" spans="1:4" s="6" customFormat="1" x14ac:dyDescent="0.25">
      <c r="A2385" s="6" t="str">
        <f>T("870190")</f>
        <v>870190</v>
      </c>
      <c r="B2385" s="6" t="str">
        <f>T("AUTRES")</f>
        <v>AUTRES</v>
      </c>
      <c r="C2385" s="1"/>
      <c r="D2385" s="1"/>
    </row>
    <row r="2386" spans="1:4" x14ac:dyDescent="0.25">
      <c r="B2386" t="str">
        <f>T("   France")</f>
        <v xml:space="preserve">   France</v>
      </c>
      <c r="C2386" s="2">
        <v>12400</v>
      </c>
      <c r="D2386" s="2">
        <v>30489020</v>
      </c>
    </row>
    <row r="2387" spans="1:4" x14ac:dyDescent="0.25">
      <c r="B2387" t="str">
        <f>T("   Pays-bas")</f>
        <v xml:space="preserve">   Pays-bas</v>
      </c>
      <c r="C2387" s="2">
        <v>1645</v>
      </c>
      <c r="D2387" s="2">
        <v>6945778</v>
      </c>
    </row>
    <row r="2388" spans="1:4" s="6" customFormat="1" x14ac:dyDescent="0.25">
      <c r="B2388" s="6" t="str">
        <f>T("   Total Monde")</f>
        <v xml:space="preserve">   Total Monde</v>
      </c>
      <c r="C2388" s="1">
        <v>14045</v>
      </c>
      <c r="D2388" s="1">
        <v>37434798</v>
      </c>
    </row>
    <row r="2389" spans="1:4" s="6" customFormat="1" x14ac:dyDescent="0.25">
      <c r="A2389" s="6" t="str">
        <f>T("870210")</f>
        <v>870210</v>
      </c>
      <c r="B2389" s="6" t="str">
        <f>T("A MOTEUR A PISTON A ALLUMAGE PAR COMPRESSION (DIESEL OU SEMIDIESEL)")</f>
        <v>A MOTEUR A PISTON A ALLUMAGE PAR COMPRESSION (DIESEL OU SEMIDIESEL)</v>
      </c>
      <c r="C2389" s="1"/>
      <c r="D2389" s="1"/>
    </row>
    <row r="2390" spans="1:4" x14ac:dyDescent="0.25">
      <c r="B2390" t="str">
        <f>T("   Sénégal")</f>
        <v xml:space="preserve">   Sénégal</v>
      </c>
      <c r="C2390" s="2">
        <v>2550</v>
      </c>
      <c r="D2390" s="2">
        <v>4042845</v>
      </c>
    </row>
    <row r="2391" spans="1:4" s="6" customFormat="1" x14ac:dyDescent="0.25">
      <c r="B2391" s="6" t="str">
        <f>T("   Total Monde")</f>
        <v xml:space="preserve">   Total Monde</v>
      </c>
      <c r="C2391" s="1">
        <v>2550</v>
      </c>
      <c r="D2391" s="1">
        <v>4042845</v>
      </c>
    </row>
    <row r="2392" spans="1:4" s="6" customFormat="1" x14ac:dyDescent="0.25">
      <c r="A2392" s="6" t="str">
        <f>T("870322")</f>
        <v>870322</v>
      </c>
      <c r="B2392" s="6" t="str">
        <f>T("D’UNE CYLINDREE EXCEDANT 1.000 CM³ MAIS N’EXCEDANT PAS 1.500 CM³")</f>
        <v>D’UNE CYLINDREE EXCEDANT 1.000 CM³ MAIS N’EXCEDANT PAS 1.500 CM³</v>
      </c>
      <c r="C2392" s="1"/>
      <c r="D2392" s="1"/>
    </row>
    <row r="2393" spans="1:4" x14ac:dyDescent="0.25">
      <c r="B2393" t="str">
        <f>T("   Belgique")</f>
        <v xml:space="preserve">   Belgique</v>
      </c>
      <c r="C2393" s="2">
        <v>1400</v>
      </c>
      <c r="D2393" s="2">
        <v>32502670</v>
      </c>
    </row>
    <row r="2394" spans="1:4" x14ac:dyDescent="0.25">
      <c r="B2394" t="str">
        <f>T("   Côte d'Ivoire")</f>
        <v xml:space="preserve">   Côte d'Ivoire</v>
      </c>
      <c r="C2394" s="2">
        <v>1675</v>
      </c>
      <c r="D2394" s="2">
        <v>5331544</v>
      </c>
    </row>
    <row r="2395" spans="1:4" x14ac:dyDescent="0.25">
      <c r="B2395" t="str">
        <f>T("   Cameroun")</f>
        <v xml:space="preserve">   Cameroun</v>
      </c>
      <c r="C2395" s="2">
        <v>1230</v>
      </c>
      <c r="D2395" s="2">
        <v>1200000</v>
      </c>
    </row>
    <row r="2396" spans="1:4" x14ac:dyDescent="0.25">
      <c r="B2396" t="str">
        <f>T("   Allemagne")</f>
        <v xml:space="preserve">   Allemagne</v>
      </c>
      <c r="C2396" s="2">
        <v>7490</v>
      </c>
      <c r="D2396" s="2">
        <v>2850000</v>
      </c>
    </row>
    <row r="2397" spans="1:4" x14ac:dyDescent="0.25">
      <c r="B2397" t="str">
        <f>T("   Djibouti")</f>
        <v xml:space="preserve">   Djibouti</v>
      </c>
      <c r="C2397" s="2">
        <v>1850</v>
      </c>
      <c r="D2397" s="2">
        <v>2000000</v>
      </c>
    </row>
    <row r="2398" spans="1:4" x14ac:dyDescent="0.25">
      <c r="B2398" t="str">
        <f>T("   Danemark")</f>
        <v xml:space="preserve">   Danemark</v>
      </c>
      <c r="C2398" s="2">
        <v>1200</v>
      </c>
      <c r="D2398" s="2">
        <v>2000000</v>
      </c>
    </row>
    <row r="2399" spans="1:4" x14ac:dyDescent="0.25">
      <c r="B2399" t="str">
        <f>T("   France")</f>
        <v xml:space="preserve">   France</v>
      </c>
      <c r="C2399" s="2">
        <v>2075</v>
      </c>
      <c r="D2399" s="2">
        <v>5000000</v>
      </c>
    </row>
    <row r="2400" spans="1:4" x14ac:dyDescent="0.25">
      <c r="B2400" t="str">
        <f>T("   Gabon")</f>
        <v xml:space="preserve">   Gabon</v>
      </c>
      <c r="C2400" s="2">
        <v>3907</v>
      </c>
      <c r="D2400" s="2">
        <v>3600000</v>
      </c>
    </row>
    <row r="2401" spans="1:4" x14ac:dyDescent="0.25">
      <c r="B2401" t="str">
        <f>T("   Guinée")</f>
        <v xml:space="preserve">   Guinée</v>
      </c>
      <c r="C2401" s="2">
        <v>950</v>
      </c>
      <c r="D2401" s="2">
        <v>1000000</v>
      </c>
    </row>
    <row r="2402" spans="1:4" x14ac:dyDescent="0.25">
      <c r="B2402" t="str">
        <f>T("   Guinée Equatoriale")</f>
        <v xml:space="preserve">   Guinée Equatoriale</v>
      </c>
      <c r="C2402" s="2">
        <v>4820</v>
      </c>
      <c r="D2402" s="2">
        <v>11866096</v>
      </c>
    </row>
    <row r="2403" spans="1:4" x14ac:dyDescent="0.25">
      <c r="B2403" t="str">
        <f>T("   Liban")</f>
        <v xml:space="preserve">   Liban</v>
      </c>
      <c r="C2403" s="2">
        <v>1427</v>
      </c>
      <c r="D2403" s="2">
        <v>1200000</v>
      </c>
    </row>
    <row r="2404" spans="1:4" x14ac:dyDescent="0.25">
      <c r="B2404" t="str">
        <f>T("   Libéria")</f>
        <v xml:space="preserve">   Libéria</v>
      </c>
      <c r="C2404" s="2">
        <v>3000</v>
      </c>
      <c r="D2404" s="2">
        <v>4500000</v>
      </c>
    </row>
    <row r="2405" spans="1:4" x14ac:dyDescent="0.25">
      <c r="B2405" t="str">
        <f>T("   Namibie")</f>
        <v xml:space="preserve">   Namibie</v>
      </c>
      <c r="C2405" s="2">
        <v>3000</v>
      </c>
      <c r="D2405" s="2">
        <v>2000000</v>
      </c>
    </row>
    <row r="2406" spans="1:4" s="6" customFormat="1" x14ac:dyDescent="0.25">
      <c r="B2406" s="6" t="str">
        <f>T("   Total Monde")</f>
        <v xml:space="preserve">   Total Monde</v>
      </c>
      <c r="C2406" s="1">
        <v>34024</v>
      </c>
      <c r="D2406" s="1">
        <v>75050310</v>
      </c>
    </row>
    <row r="2407" spans="1:4" s="6" customFormat="1" x14ac:dyDescent="0.25">
      <c r="A2407" s="6" t="str">
        <f>T("870323")</f>
        <v>870323</v>
      </c>
      <c r="B2407" s="6" t="str">
        <f>T("D’UNE CYLINDREE EXCEDANT 1.500 CM³ MAIS N’EXCEDANT PAS 3.000 CM³")</f>
        <v>D’UNE CYLINDREE EXCEDANT 1.500 CM³ MAIS N’EXCEDANT PAS 3.000 CM³</v>
      </c>
      <c r="C2407" s="1"/>
      <c r="D2407" s="1"/>
    </row>
    <row r="2408" spans="1:4" x14ac:dyDescent="0.25">
      <c r="B2408" t="str">
        <f>T("   Emirats Arabes Unis")</f>
        <v xml:space="preserve">   Emirats Arabes Unis</v>
      </c>
      <c r="C2408" s="2">
        <v>5000</v>
      </c>
      <c r="D2408" s="2">
        <v>1000000</v>
      </c>
    </row>
    <row r="2409" spans="1:4" x14ac:dyDescent="0.25">
      <c r="B2409" t="str">
        <f>T("   Belgique")</f>
        <v xml:space="preserve">   Belgique</v>
      </c>
      <c r="C2409" s="2">
        <v>1975</v>
      </c>
      <c r="D2409" s="2">
        <v>18396174</v>
      </c>
    </row>
    <row r="2410" spans="1:4" x14ac:dyDescent="0.25">
      <c r="B2410" t="str">
        <f>T("   Burkina Faso")</f>
        <v xml:space="preserve">   Burkina Faso</v>
      </c>
      <c r="C2410" s="2">
        <v>6389</v>
      </c>
      <c r="D2410" s="2">
        <v>40045029</v>
      </c>
    </row>
    <row r="2411" spans="1:4" x14ac:dyDescent="0.25">
      <c r="B2411" t="str">
        <f>T("   Congo, République Démocratique")</f>
        <v xml:space="preserve">   Congo, République Démocratique</v>
      </c>
      <c r="C2411" s="2">
        <v>3075</v>
      </c>
      <c r="D2411" s="2">
        <v>4200000</v>
      </c>
    </row>
    <row r="2412" spans="1:4" x14ac:dyDescent="0.25">
      <c r="B2412" t="str">
        <f>T("   Congo (Brazzaville)")</f>
        <v xml:space="preserve">   Congo (Brazzaville)</v>
      </c>
      <c r="C2412" s="2">
        <v>13250</v>
      </c>
      <c r="D2412" s="2">
        <v>5900000</v>
      </c>
    </row>
    <row r="2413" spans="1:4" x14ac:dyDescent="0.25">
      <c r="B2413" t="str">
        <f>T("   Côte d'Ivoire")</f>
        <v xml:space="preserve">   Côte d'Ivoire</v>
      </c>
      <c r="C2413" s="2">
        <v>4680</v>
      </c>
      <c r="D2413" s="2">
        <v>4264261</v>
      </c>
    </row>
    <row r="2414" spans="1:4" x14ac:dyDescent="0.25">
      <c r="B2414" t="str">
        <f>T("   Cameroun")</f>
        <v xml:space="preserve">   Cameroun</v>
      </c>
      <c r="C2414" s="2">
        <v>1870</v>
      </c>
      <c r="D2414" s="2">
        <v>1200000</v>
      </c>
    </row>
    <row r="2415" spans="1:4" x14ac:dyDescent="0.25">
      <c r="B2415" t="str">
        <f>T("   Espagne")</f>
        <v xml:space="preserve">   Espagne</v>
      </c>
      <c r="C2415" s="2">
        <v>1845</v>
      </c>
      <c r="D2415" s="2">
        <v>20000000</v>
      </c>
    </row>
    <row r="2416" spans="1:4" x14ac:dyDescent="0.25">
      <c r="B2416" t="str">
        <f>T("   France")</f>
        <v xml:space="preserve">   France</v>
      </c>
      <c r="C2416" s="2">
        <v>3030</v>
      </c>
      <c r="D2416" s="2">
        <v>4314814</v>
      </c>
    </row>
    <row r="2417" spans="1:4" x14ac:dyDescent="0.25">
      <c r="B2417" t="str">
        <f>T("   Gabon")</f>
        <v xml:space="preserve">   Gabon</v>
      </c>
      <c r="C2417" s="2">
        <v>8520</v>
      </c>
      <c r="D2417" s="2">
        <v>13609272</v>
      </c>
    </row>
    <row r="2418" spans="1:4" x14ac:dyDescent="0.25">
      <c r="B2418" t="str">
        <f>T("   Guinée")</f>
        <v xml:space="preserve">   Guinée</v>
      </c>
      <c r="C2418" s="2">
        <v>1800</v>
      </c>
      <c r="D2418" s="2">
        <v>2000000</v>
      </c>
    </row>
    <row r="2419" spans="1:4" x14ac:dyDescent="0.25">
      <c r="B2419" t="str">
        <f>T("   Guinée Equatoriale")</f>
        <v xml:space="preserve">   Guinée Equatoriale</v>
      </c>
      <c r="C2419" s="2">
        <v>7475</v>
      </c>
      <c r="D2419" s="2">
        <v>13721056</v>
      </c>
    </row>
    <row r="2420" spans="1:4" x14ac:dyDescent="0.25">
      <c r="B2420" t="str">
        <f>T("   Haïti")</f>
        <v xml:space="preserve">   Haïti</v>
      </c>
      <c r="C2420" s="2">
        <v>1870</v>
      </c>
      <c r="D2420" s="2">
        <v>3500000</v>
      </c>
    </row>
    <row r="2421" spans="1:4" x14ac:dyDescent="0.25">
      <c r="B2421" t="str">
        <f>T("   Liban")</f>
        <v xml:space="preserve">   Liban</v>
      </c>
      <c r="C2421" s="2">
        <v>4284</v>
      </c>
      <c r="D2421" s="2">
        <v>10800000</v>
      </c>
    </row>
    <row r="2422" spans="1:4" x14ac:dyDescent="0.25">
      <c r="B2422" t="str">
        <f>T("   Libéria")</f>
        <v xml:space="preserve">   Libéria</v>
      </c>
      <c r="C2422" s="2">
        <v>1505</v>
      </c>
      <c r="D2422" s="2">
        <v>4643174</v>
      </c>
    </row>
    <row r="2423" spans="1:4" x14ac:dyDescent="0.25">
      <c r="B2423" t="str">
        <f>T("   Libyenne, Jamahiriya Arabe")</f>
        <v xml:space="preserve">   Libyenne, Jamahiriya Arabe</v>
      </c>
      <c r="C2423" s="2">
        <v>1500</v>
      </c>
      <c r="D2423" s="2">
        <v>1200000</v>
      </c>
    </row>
    <row r="2424" spans="1:4" x14ac:dyDescent="0.25">
      <c r="B2424" t="str">
        <f>T("   Madagascar")</f>
        <v xml:space="preserve">   Madagascar</v>
      </c>
      <c r="C2424" s="2">
        <v>2550</v>
      </c>
      <c r="D2424" s="2">
        <v>2400000</v>
      </c>
    </row>
    <row r="2425" spans="1:4" x14ac:dyDescent="0.25">
      <c r="B2425" t="str">
        <f>T("   Mali")</f>
        <v xml:space="preserve">   Mali</v>
      </c>
      <c r="C2425" s="2">
        <v>1500</v>
      </c>
      <c r="D2425" s="2">
        <v>4114181</v>
      </c>
    </row>
    <row r="2426" spans="1:4" x14ac:dyDescent="0.25">
      <c r="B2426" t="str">
        <f>T("   Niger")</f>
        <v xml:space="preserve">   Niger</v>
      </c>
      <c r="C2426" s="2">
        <v>2300</v>
      </c>
      <c r="D2426" s="2">
        <v>1200000</v>
      </c>
    </row>
    <row r="2427" spans="1:4" x14ac:dyDescent="0.25">
      <c r="B2427" t="str">
        <f>T("   Nigéria")</f>
        <v xml:space="preserve">   Nigéria</v>
      </c>
      <c r="C2427" s="2">
        <v>1735</v>
      </c>
      <c r="D2427" s="2">
        <v>1000000</v>
      </c>
    </row>
    <row r="2428" spans="1:4" x14ac:dyDescent="0.25">
      <c r="B2428" t="str">
        <f>T("   Sénégal")</f>
        <v xml:space="preserve">   Sénégal</v>
      </c>
      <c r="C2428" s="2">
        <v>3450</v>
      </c>
      <c r="D2428" s="2">
        <v>18022412</v>
      </c>
    </row>
    <row r="2429" spans="1:4" x14ac:dyDescent="0.25">
      <c r="B2429" t="str">
        <f>T("   Togo")</f>
        <v xml:space="preserve">   Togo</v>
      </c>
      <c r="C2429" s="2">
        <v>2205</v>
      </c>
      <c r="D2429" s="2">
        <v>14067588</v>
      </c>
    </row>
    <row r="2430" spans="1:4" s="6" customFormat="1" x14ac:dyDescent="0.25">
      <c r="B2430" s="6" t="str">
        <f>T("   Total Monde")</f>
        <v xml:space="preserve">   Total Monde</v>
      </c>
      <c r="C2430" s="1">
        <v>81808</v>
      </c>
      <c r="D2430" s="1">
        <v>189597961</v>
      </c>
    </row>
    <row r="2431" spans="1:4" s="6" customFormat="1" x14ac:dyDescent="0.25">
      <c r="A2431" s="6" t="str">
        <f>T("870324")</f>
        <v>870324</v>
      </c>
      <c r="B2431" s="6" t="str">
        <f>T("D’UNE CYLINDREE EXCEDANT 3.000 CM³")</f>
        <v>D’UNE CYLINDREE EXCEDANT 3.000 CM³</v>
      </c>
      <c r="C2431" s="1"/>
      <c r="D2431" s="1"/>
    </row>
    <row r="2432" spans="1:4" x14ac:dyDescent="0.25">
      <c r="B2432" t="str">
        <f>T("   Belgique")</f>
        <v xml:space="preserve">   Belgique</v>
      </c>
      <c r="C2432" s="2">
        <v>3170</v>
      </c>
      <c r="D2432" s="2">
        <v>178198094</v>
      </c>
    </row>
    <row r="2433" spans="1:4" x14ac:dyDescent="0.25">
      <c r="B2433" t="str">
        <f>T("   Centrafricaine, République")</f>
        <v xml:space="preserve">   Centrafricaine, République</v>
      </c>
      <c r="C2433" s="2">
        <v>18416</v>
      </c>
      <c r="D2433" s="2">
        <v>226608056</v>
      </c>
    </row>
    <row r="2434" spans="1:4" x14ac:dyDescent="0.25">
      <c r="B2434" t="str">
        <f>T("   Côte d'Ivoire")</f>
        <v xml:space="preserve">   Côte d'Ivoire</v>
      </c>
      <c r="C2434" s="2">
        <v>3857</v>
      </c>
      <c r="D2434" s="2">
        <v>29868781</v>
      </c>
    </row>
    <row r="2435" spans="1:4" x14ac:dyDescent="0.25">
      <c r="B2435" t="str">
        <f>T("   Italie")</f>
        <v xml:space="preserve">   Italie</v>
      </c>
      <c r="C2435" s="2">
        <v>13600</v>
      </c>
      <c r="D2435" s="2">
        <v>99972618</v>
      </c>
    </row>
    <row r="2436" spans="1:4" x14ac:dyDescent="0.25">
      <c r="B2436" t="str">
        <f>T("   Namibie")</f>
        <v xml:space="preserve">   Namibie</v>
      </c>
      <c r="C2436" s="2">
        <v>2200</v>
      </c>
      <c r="D2436" s="2">
        <v>10954532</v>
      </c>
    </row>
    <row r="2437" spans="1:4" x14ac:dyDescent="0.25">
      <c r="B2437" t="str">
        <f>T("   Sénégal")</f>
        <v xml:space="preserve">   Sénégal</v>
      </c>
      <c r="C2437" s="2">
        <v>10198</v>
      </c>
      <c r="D2437" s="2">
        <v>22000000</v>
      </c>
    </row>
    <row r="2438" spans="1:4" x14ac:dyDescent="0.25">
      <c r="B2438" t="str">
        <f>T("   Afrique du Sud")</f>
        <v xml:space="preserve">   Afrique du Sud</v>
      </c>
      <c r="C2438" s="2">
        <v>3200</v>
      </c>
      <c r="D2438" s="2">
        <v>2405632</v>
      </c>
    </row>
    <row r="2439" spans="1:4" s="6" customFormat="1" x14ac:dyDescent="0.25">
      <c r="B2439" s="6" t="str">
        <f>T("   Total Monde")</f>
        <v xml:space="preserve">   Total Monde</v>
      </c>
      <c r="C2439" s="1">
        <v>54641</v>
      </c>
      <c r="D2439" s="1">
        <v>570007713</v>
      </c>
    </row>
    <row r="2440" spans="1:4" s="6" customFormat="1" x14ac:dyDescent="0.25">
      <c r="A2440" s="6" t="str">
        <f>T("870333")</f>
        <v>870333</v>
      </c>
      <c r="B2440" s="6" t="str">
        <f>T("D'UNE CYLINDREE EXCEDANT 2.500 CM³")</f>
        <v>D'UNE CYLINDREE EXCEDANT 2.500 CM³</v>
      </c>
      <c r="C2440" s="1"/>
      <c r="D2440" s="1"/>
    </row>
    <row r="2441" spans="1:4" x14ac:dyDescent="0.25">
      <c r="B2441" t="str">
        <f>T("   Côte d'Ivoire")</f>
        <v xml:space="preserve">   Côte d'Ivoire</v>
      </c>
      <c r="C2441" s="2">
        <v>1680</v>
      </c>
      <c r="D2441" s="2">
        <v>20000000</v>
      </c>
    </row>
    <row r="2442" spans="1:4" x14ac:dyDescent="0.25">
      <c r="B2442" t="str">
        <f>T("   France")</f>
        <v xml:space="preserve">   France</v>
      </c>
      <c r="C2442" s="2">
        <v>3000</v>
      </c>
      <c r="D2442" s="2">
        <v>70955193</v>
      </c>
    </row>
    <row r="2443" spans="1:4" x14ac:dyDescent="0.25">
      <c r="B2443" t="str">
        <f>T("   Gabon")</f>
        <v xml:space="preserve">   Gabon</v>
      </c>
      <c r="C2443" s="2">
        <v>1830</v>
      </c>
      <c r="D2443" s="2">
        <v>1200000</v>
      </c>
    </row>
    <row r="2444" spans="1:4" x14ac:dyDescent="0.25">
      <c r="B2444" t="str">
        <f>T("   Madagascar")</f>
        <v xml:space="preserve">   Madagascar</v>
      </c>
      <c r="C2444" s="2">
        <v>4000</v>
      </c>
      <c r="D2444" s="2">
        <v>30461135</v>
      </c>
    </row>
    <row r="2445" spans="1:4" s="6" customFormat="1" x14ac:dyDescent="0.25">
      <c r="B2445" s="6" t="str">
        <f>T("   Total Monde")</f>
        <v xml:space="preserve">   Total Monde</v>
      </c>
      <c r="C2445" s="1">
        <v>10510</v>
      </c>
      <c r="D2445" s="1">
        <v>122616328</v>
      </c>
    </row>
    <row r="2446" spans="1:4" s="6" customFormat="1" x14ac:dyDescent="0.25">
      <c r="A2446" s="6" t="str">
        <f>T("870390")</f>
        <v>870390</v>
      </c>
      <c r="B2446" s="6" t="str">
        <f>T("AUTRES")</f>
        <v>AUTRES</v>
      </c>
      <c r="C2446" s="1"/>
      <c r="D2446" s="1"/>
    </row>
    <row r="2447" spans="1:4" x14ac:dyDescent="0.25">
      <c r="B2447" t="str">
        <f>T("   Afrique du Sud")</f>
        <v xml:space="preserve">   Afrique du Sud</v>
      </c>
      <c r="C2447" s="2">
        <v>2000</v>
      </c>
      <c r="D2447" s="2">
        <v>13119200</v>
      </c>
    </row>
    <row r="2448" spans="1:4" s="6" customFormat="1" x14ac:dyDescent="0.25">
      <c r="B2448" s="6" t="str">
        <f>T("   Total Monde")</f>
        <v xml:space="preserve">   Total Monde</v>
      </c>
      <c r="C2448" s="1">
        <v>2000</v>
      </c>
      <c r="D2448" s="1">
        <v>13119200</v>
      </c>
    </row>
    <row r="2449" spans="1:4" s="6" customFormat="1" x14ac:dyDescent="0.25">
      <c r="A2449" s="6" t="str">
        <f>T("870410")</f>
        <v>870410</v>
      </c>
      <c r="B2449" s="6" t="str">
        <f>T("TOMBEREAUX AUTOMOTEURS CONCUS POUR ETRE UTILISES EN DEHORS DU RESEAU ROUTIER")</f>
        <v>TOMBEREAUX AUTOMOTEURS CONCUS POUR ETRE UTILISES EN DEHORS DU RESEAU ROUTIER</v>
      </c>
      <c r="C2449" s="1"/>
      <c r="D2449" s="1"/>
    </row>
    <row r="2450" spans="1:4" x14ac:dyDescent="0.25">
      <c r="B2450" t="str">
        <f>T("   France")</f>
        <v xml:space="preserve">   France</v>
      </c>
      <c r="C2450" s="2">
        <v>264800</v>
      </c>
      <c r="D2450" s="2">
        <v>1497375112</v>
      </c>
    </row>
    <row r="2451" spans="1:4" s="6" customFormat="1" x14ac:dyDescent="0.25">
      <c r="B2451" s="6" t="str">
        <f>T("   Total Monde")</f>
        <v xml:space="preserve">   Total Monde</v>
      </c>
      <c r="C2451" s="1">
        <v>264800</v>
      </c>
      <c r="D2451" s="1">
        <v>1497375112</v>
      </c>
    </row>
    <row r="2452" spans="1:4" s="6" customFormat="1" x14ac:dyDescent="0.25">
      <c r="A2452" s="6" t="str">
        <f>T("870421")</f>
        <v>870421</v>
      </c>
      <c r="B2452" s="6" t="str">
        <f>T("D'UN POIDS EN CHARGE MAXIMAL N'EXCEDANT PAS 5 TONNES")</f>
        <v>D'UN POIDS EN CHARGE MAXIMAL N'EXCEDANT PAS 5 TONNES</v>
      </c>
      <c r="C2452" s="1"/>
      <c r="D2452" s="1"/>
    </row>
    <row r="2453" spans="1:4" x14ac:dyDescent="0.25">
      <c r="B2453" t="str">
        <f>T("   Côte d'Ivoire")</f>
        <v xml:space="preserve">   Côte d'Ivoire</v>
      </c>
      <c r="C2453" s="2">
        <v>1870</v>
      </c>
      <c r="D2453" s="2">
        <v>12996535</v>
      </c>
    </row>
    <row r="2454" spans="1:4" x14ac:dyDescent="0.25">
      <c r="B2454" t="str">
        <f>T("   Allemagne")</f>
        <v xml:space="preserve">   Allemagne</v>
      </c>
      <c r="C2454" s="2">
        <v>1160</v>
      </c>
      <c r="D2454" s="2">
        <v>1200000</v>
      </c>
    </row>
    <row r="2455" spans="1:4" x14ac:dyDescent="0.25">
      <c r="B2455" t="str">
        <f>T("   Niger")</f>
        <v xml:space="preserve">   Niger</v>
      </c>
      <c r="C2455" s="2">
        <v>3290</v>
      </c>
      <c r="D2455" s="2">
        <v>5355782</v>
      </c>
    </row>
    <row r="2456" spans="1:4" x14ac:dyDescent="0.25">
      <c r="B2456" t="str">
        <f>T("   Tunisie")</f>
        <v xml:space="preserve">   Tunisie</v>
      </c>
      <c r="C2456" s="2">
        <v>1430</v>
      </c>
      <c r="D2456" s="2">
        <v>3765210</v>
      </c>
    </row>
    <row r="2457" spans="1:4" s="6" customFormat="1" x14ac:dyDescent="0.25">
      <c r="B2457" s="6" t="str">
        <f>T("   Total Monde")</f>
        <v xml:space="preserve">   Total Monde</v>
      </c>
      <c r="C2457" s="1">
        <v>7750</v>
      </c>
      <c r="D2457" s="1">
        <v>23317527</v>
      </c>
    </row>
    <row r="2458" spans="1:4" s="6" customFormat="1" x14ac:dyDescent="0.25">
      <c r="A2458" s="6" t="str">
        <f>T("870422")</f>
        <v>870422</v>
      </c>
      <c r="B2458" s="6" t="str">
        <f>T("D'UN POIDS EN CHARGE MAXIMAL EXCEDANT 5 TONNES MAIS N'EXCEDANT PAS 20 TONNES")</f>
        <v>D'UN POIDS EN CHARGE MAXIMAL EXCEDANT 5 TONNES MAIS N'EXCEDANT PAS 20 TONNES</v>
      </c>
      <c r="C2458" s="1"/>
      <c r="D2458" s="1"/>
    </row>
    <row r="2459" spans="1:4" x14ac:dyDescent="0.25">
      <c r="B2459" t="str">
        <f>T("   Côte d'Ivoire")</f>
        <v xml:space="preserve">   Côte d'Ivoire</v>
      </c>
      <c r="C2459" s="2">
        <v>16630</v>
      </c>
      <c r="D2459" s="2">
        <v>15971000</v>
      </c>
    </row>
    <row r="2460" spans="1:4" x14ac:dyDescent="0.25">
      <c r="B2460" t="str">
        <f>T("   Gabon")</f>
        <v xml:space="preserve">   Gabon</v>
      </c>
      <c r="C2460" s="2">
        <v>9280</v>
      </c>
      <c r="D2460" s="2">
        <v>2352295</v>
      </c>
    </row>
    <row r="2461" spans="1:4" x14ac:dyDescent="0.25">
      <c r="B2461" t="str">
        <f>T("   Guinée")</f>
        <v xml:space="preserve">   Guinée</v>
      </c>
      <c r="C2461" s="2">
        <v>166900</v>
      </c>
      <c r="D2461" s="2">
        <v>267505142</v>
      </c>
    </row>
    <row r="2462" spans="1:4" x14ac:dyDescent="0.25">
      <c r="B2462" t="str">
        <f>T("   Guinée Equatoriale")</f>
        <v xml:space="preserve">   Guinée Equatoriale</v>
      </c>
      <c r="C2462" s="2">
        <v>9000</v>
      </c>
      <c r="D2462" s="2">
        <v>2000000</v>
      </c>
    </row>
    <row r="2463" spans="1:4" x14ac:dyDescent="0.25">
      <c r="B2463" t="str">
        <f>T("   Niger")</f>
        <v xml:space="preserve">   Niger</v>
      </c>
      <c r="C2463" s="2">
        <v>6880</v>
      </c>
      <c r="D2463" s="2">
        <v>4835742</v>
      </c>
    </row>
    <row r="2464" spans="1:4" x14ac:dyDescent="0.25">
      <c r="B2464" t="str">
        <f>T("   Togo")</f>
        <v xml:space="preserve">   Togo</v>
      </c>
      <c r="C2464" s="2">
        <v>88696</v>
      </c>
      <c r="D2464" s="2">
        <v>133674156</v>
      </c>
    </row>
    <row r="2465" spans="1:4" s="6" customFormat="1" x14ac:dyDescent="0.25">
      <c r="B2465" s="6" t="str">
        <f>T("   Total Monde")</f>
        <v xml:space="preserve">   Total Monde</v>
      </c>
      <c r="C2465" s="1">
        <v>297386</v>
      </c>
      <c r="D2465" s="1">
        <v>426338335</v>
      </c>
    </row>
    <row r="2466" spans="1:4" s="6" customFormat="1" x14ac:dyDescent="0.25">
      <c r="A2466" s="6" t="str">
        <f>T("870423")</f>
        <v>870423</v>
      </c>
      <c r="B2466" s="6" t="str">
        <f>T("D'UN POIDS EN CHARGE MAXIMAL EXCEDANT 20 TONNES")</f>
        <v>D'UN POIDS EN CHARGE MAXIMAL EXCEDANT 20 TONNES</v>
      </c>
      <c r="C2466" s="1"/>
      <c r="D2466" s="1"/>
    </row>
    <row r="2467" spans="1:4" x14ac:dyDescent="0.25">
      <c r="B2467" t="str">
        <f>T("   France")</f>
        <v xml:space="preserve">   France</v>
      </c>
      <c r="C2467" s="2">
        <v>50000</v>
      </c>
      <c r="D2467" s="2">
        <v>51390348</v>
      </c>
    </row>
    <row r="2468" spans="1:4" x14ac:dyDescent="0.25">
      <c r="B2468" t="str">
        <f>T("   Guinée")</f>
        <v xml:space="preserve">   Guinée</v>
      </c>
      <c r="C2468" s="2">
        <v>19800</v>
      </c>
      <c r="D2468" s="2">
        <v>49151575</v>
      </c>
    </row>
    <row r="2469" spans="1:4" s="6" customFormat="1" x14ac:dyDescent="0.25">
      <c r="B2469" s="6" t="str">
        <f>T("   Total Monde")</f>
        <v xml:space="preserve">   Total Monde</v>
      </c>
      <c r="C2469" s="1">
        <v>69800</v>
      </c>
      <c r="D2469" s="1">
        <v>100541923</v>
      </c>
    </row>
    <row r="2470" spans="1:4" s="6" customFormat="1" x14ac:dyDescent="0.25">
      <c r="A2470" s="6" t="str">
        <f>T("870431")</f>
        <v>870431</v>
      </c>
      <c r="B2470" s="6" t="str">
        <f>T("D'UN POIDS EN CHARGE MAXIMAL N'EXCEDANT PAS 5 TONNES")</f>
        <v>D'UN POIDS EN CHARGE MAXIMAL N'EXCEDANT PAS 5 TONNES</v>
      </c>
      <c r="C2470" s="1"/>
      <c r="D2470" s="1"/>
    </row>
    <row r="2471" spans="1:4" x14ac:dyDescent="0.25">
      <c r="B2471" t="str">
        <f>T("   Niger")</f>
        <v xml:space="preserve">   Niger</v>
      </c>
      <c r="C2471" s="2">
        <v>6840</v>
      </c>
      <c r="D2471" s="2">
        <v>15555149</v>
      </c>
    </row>
    <row r="2472" spans="1:4" s="6" customFormat="1" x14ac:dyDescent="0.25">
      <c r="B2472" s="6" t="str">
        <f>T("   Total Monde")</f>
        <v xml:space="preserve">   Total Monde</v>
      </c>
      <c r="C2472" s="1">
        <v>6840</v>
      </c>
      <c r="D2472" s="1">
        <v>15555149</v>
      </c>
    </row>
    <row r="2473" spans="1:4" s="6" customFormat="1" x14ac:dyDescent="0.25">
      <c r="A2473" s="6" t="str">
        <f>T("870510")</f>
        <v>870510</v>
      </c>
      <c r="B2473" s="6" t="str">
        <f>T("CAMIONSGRUES")</f>
        <v>CAMIONSGRUES</v>
      </c>
      <c r="C2473" s="1"/>
      <c r="D2473" s="1"/>
    </row>
    <row r="2474" spans="1:4" x14ac:dyDescent="0.25">
      <c r="B2474" t="str">
        <f>T("   Côte d'Ivoire")</f>
        <v xml:space="preserve">   Côte d'Ivoire</v>
      </c>
      <c r="C2474" s="2">
        <v>41800</v>
      </c>
      <c r="D2474" s="2">
        <v>48000000</v>
      </c>
    </row>
    <row r="2475" spans="1:4" x14ac:dyDescent="0.25">
      <c r="B2475" t="str">
        <f>T("   Nigéria")</f>
        <v xml:space="preserve">   Nigéria</v>
      </c>
      <c r="C2475" s="2">
        <v>268260</v>
      </c>
      <c r="D2475" s="2">
        <v>88293556</v>
      </c>
    </row>
    <row r="2476" spans="1:4" x14ac:dyDescent="0.25">
      <c r="B2476" t="str">
        <f>T("   Togo")</f>
        <v xml:space="preserve">   Togo</v>
      </c>
      <c r="C2476" s="2">
        <v>7000</v>
      </c>
      <c r="D2476" s="2">
        <v>1800000</v>
      </c>
    </row>
    <row r="2477" spans="1:4" s="6" customFormat="1" x14ac:dyDescent="0.25">
      <c r="B2477" s="6" t="str">
        <f>T("   Total Monde")</f>
        <v xml:space="preserve">   Total Monde</v>
      </c>
      <c r="C2477" s="1">
        <v>317060</v>
      </c>
      <c r="D2477" s="1">
        <v>138093556</v>
      </c>
    </row>
    <row r="2478" spans="1:4" s="6" customFormat="1" x14ac:dyDescent="0.25">
      <c r="A2478" s="6" t="str">
        <f>T("870520")</f>
        <v>870520</v>
      </c>
      <c r="B2478" s="6" t="str">
        <f>T("Derricks automobiles pour le sondage ou le forage")</f>
        <v>Derricks automobiles pour le sondage ou le forage</v>
      </c>
      <c r="C2478" s="1"/>
      <c r="D2478" s="1"/>
    </row>
    <row r="2479" spans="1:4" x14ac:dyDescent="0.25">
      <c r="B2479" t="str">
        <f>T("   Gabon")</f>
        <v xml:space="preserve">   Gabon</v>
      </c>
      <c r="C2479" s="2">
        <v>24880</v>
      </c>
      <c r="D2479" s="2">
        <v>15000000</v>
      </c>
    </row>
    <row r="2480" spans="1:4" x14ac:dyDescent="0.25">
      <c r="B2480" t="str">
        <f>T("   Guinée")</f>
        <v xml:space="preserve">   Guinée</v>
      </c>
      <c r="C2480" s="2">
        <v>27030</v>
      </c>
      <c r="D2480" s="2">
        <v>25070874</v>
      </c>
    </row>
    <row r="2481" spans="1:4" s="6" customFormat="1" x14ac:dyDescent="0.25">
      <c r="B2481" s="6" t="str">
        <f>T("   Total Monde")</f>
        <v xml:space="preserve">   Total Monde</v>
      </c>
      <c r="C2481" s="1">
        <v>51910</v>
      </c>
      <c r="D2481" s="1">
        <v>40070874</v>
      </c>
    </row>
    <row r="2482" spans="1:4" s="6" customFormat="1" x14ac:dyDescent="0.25">
      <c r="A2482" s="6" t="str">
        <f>T("870540")</f>
        <v>870540</v>
      </c>
      <c r="B2482" s="6" t="str">
        <f>T("CAMIONSBETONNIERES")</f>
        <v>CAMIONSBETONNIERES</v>
      </c>
      <c r="C2482" s="1"/>
      <c r="D2482" s="1"/>
    </row>
    <row r="2483" spans="1:4" x14ac:dyDescent="0.25">
      <c r="B2483" t="str">
        <f>T("   Niger")</f>
        <v xml:space="preserve">   Niger</v>
      </c>
      <c r="C2483" s="2">
        <v>88487</v>
      </c>
      <c r="D2483" s="2">
        <v>5000000</v>
      </c>
    </row>
    <row r="2484" spans="1:4" x14ac:dyDescent="0.25">
      <c r="B2484" t="str">
        <f>T("   Nigéria")</f>
        <v xml:space="preserve">   Nigéria</v>
      </c>
      <c r="C2484" s="2">
        <v>30000</v>
      </c>
      <c r="D2484" s="2">
        <v>30872101</v>
      </c>
    </row>
    <row r="2485" spans="1:4" s="6" customFormat="1" x14ac:dyDescent="0.25">
      <c r="B2485" s="6" t="str">
        <f>T("   Total Monde")</f>
        <v xml:space="preserve">   Total Monde</v>
      </c>
      <c r="C2485" s="1">
        <v>118487</v>
      </c>
      <c r="D2485" s="1">
        <v>35872101</v>
      </c>
    </row>
    <row r="2486" spans="1:4" s="6" customFormat="1" x14ac:dyDescent="0.25">
      <c r="A2486" s="6" t="str">
        <f>T("870590")</f>
        <v>870590</v>
      </c>
      <c r="B2486" s="6" t="str">
        <f>T("AUTRES")</f>
        <v>AUTRES</v>
      </c>
      <c r="C2486" s="1"/>
      <c r="D2486" s="1"/>
    </row>
    <row r="2487" spans="1:4" x14ac:dyDescent="0.25">
      <c r="B2487" t="str">
        <f>T("   Maroc")</f>
        <v xml:space="preserve">   Maroc</v>
      </c>
      <c r="C2487" s="2">
        <v>39916</v>
      </c>
      <c r="D2487" s="2">
        <v>48576310</v>
      </c>
    </row>
    <row r="2488" spans="1:4" s="6" customFormat="1" x14ac:dyDescent="0.25">
      <c r="B2488" s="6" t="str">
        <f>T("   Total Monde")</f>
        <v xml:space="preserve">   Total Monde</v>
      </c>
      <c r="C2488" s="1">
        <v>39916</v>
      </c>
      <c r="D2488" s="1">
        <v>48576310</v>
      </c>
    </row>
    <row r="2489" spans="1:4" s="6" customFormat="1" x14ac:dyDescent="0.25">
      <c r="A2489" s="6" t="str">
        <f>T("870840")</f>
        <v>870840</v>
      </c>
      <c r="B2489" s="6" t="str">
        <f>T("BOITES DE VITESSES ET LEURS PARTIES")</f>
        <v>BOITES DE VITESSES ET LEURS PARTIES</v>
      </c>
      <c r="C2489" s="1"/>
      <c r="D2489" s="1"/>
    </row>
    <row r="2490" spans="1:4" x14ac:dyDescent="0.25">
      <c r="B2490" t="str">
        <f>T("   France")</f>
        <v xml:space="preserve">   France</v>
      </c>
      <c r="C2490" s="2">
        <v>1000</v>
      </c>
      <c r="D2490" s="2">
        <v>2623840</v>
      </c>
    </row>
    <row r="2491" spans="1:4" s="6" customFormat="1" x14ac:dyDescent="0.25">
      <c r="B2491" s="6" t="str">
        <f>T("   Total Monde")</f>
        <v xml:space="preserve">   Total Monde</v>
      </c>
      <c r="C2491" s="1">
        <v>1000</v>
      </c>
      <c r="D2491" s="1">
        <v>2623840</v>
      </c>
    </row>
    <row r="2492" spans="1:4" s="6" customFormat="1" x14ac:dyDescent="0.25">
      <c r="A2492" s="6" t="str">
        <f>T("870899")</f>
        <v>870899</v>
      </c>
      <c r="B2492" s="6" t="str">
        <f>T("AUTRES")</f>
        <v>AUTRES</v>
      </c>
      <c r="C2492" s="1"/>
      <c r="D2492" s="1"/>
    </row>
    <row r="2493" spans="1:4" x14ac:dyDescent="0.25">
      <c r="B2493" t="str">
        <f>T("   Congo (Brazzaville)")</f>
        <v xml:space="preserve">   Congo (Brazzaville)</v>
      </c>
      <c r="C2493" s="2">
        <v>2210</v>
      </c>
      <c r="D2493" s="2">
        <v>1700000</v>
      </c>
    </row>
    <row r="2494" spans="1:4" x14ac:dyDescent="0.25">
      <c r="B2494" t="str">
        <f>T("   Gabon")</f>
        <v xml:space="preserve">   Gabon</v>
      </c>
      <c r="C2494" s="2">
        <v>1308</v>
      </c>
      <c r="D2494" s="2">
        <v>1609923</v>
      </c>
    </row>
    <row r="2495" spans="1:4" x14ac:dyDescent="0.25">
      <c r="B2495" t="str">
        <f>T("   Guinée")</f>
        <v xml:space="preserve">   Guinée</v>
      </c>
      <c r="C2495" s="2">
        <v>6200</v>
      </c>
      <c r="D2495" s="2">
        <v>82000248</v>
      </c>
    </row>
    <row r="2496" spans="1:4" x14ac:dyDescent="0.25">
      <c r="B2496" t="str">
        <f>T("   Guinée Equatoriale")</f>
        <v xml:space="preserve">   Guinée Equatoriale</v>
      </c>
      <c r="C2496" s="2">
        <v>4055</v>
      </c>
      <c r="D2496" s="2">
        <v>3910598</v>
      </c>
    </row>
    <row r="2497" spans="1:4" x14ac:dyDescent="0.25">
      <c r="B2497" t="str">
        <f>T("   Moldova, République de")</f>
        <v xml:space="preserve">   Moldova, République de</v>
      </c>
      <c r="C2497" s="2">
        <v>4959</v>
      </c>
      <c r="D2497" s="2">
        <v>10000110</v>
      </c>
    </row>
    <row r="2498" spans="1:4" s="6" customFormat="1" x14ac:dyDescent="0.25">
      <c r="B2498" s="6" t="str">
        <f>T("   Total Monde")</f>
        <v xml:space="preserve">   Total Monde</v>
      </c>
      <c r="C2498" s="1">
        <v>18732</v>
      </c>
      <c r="D2498" s="1">
        <v>99220879</v>
      </c>
    </row>
    <row r="2499" spans="1:4" s="6" customFormat="1" x14ac:dyDescent="0.25">
      <c r="A2499" s="6" t="str">
        <f>T("870919")</f>
        <v>870919</v>
      </c>
      <c r="B2499" s="6" t="str">
        <f>T("AUTRES")</f>
        <v>AUTRES</v>
      </c>
      <c r="C2499" s="1"/>
      <c r="D2499" s="1"/>
    </row>
    <row r="2500" spans="1:4" x14ac:dyDescent="0.25">
      <c r="B2500" t="str">
        <f>T("   Guinée Equatoriale")</f>
        <v xml:space="preserve">   Guinée Equatoriale</v>
      </c>
      <c r="C2500" s="2">
        <v>1200</v>
      </c>
      <c r="D2500" s="2">
        <v>2100000</v>
      </c>
    </row>
    <row r="2501" spans="1:4" s="6" customFormat="1" x14ac:dyDescent="0.25">
      <c r="B2501" s="6" t="str">
        <f>T("   Total Monde")</f>
        <v xml:space="preserve">   Total Monde</v>
      </c>
      <c r="C2501" s="1">
        <v>1200</v>
      </c>
      <c r="D2501" s="1">
        <v>2100000</v>
      </c>
    </row>
    <row r="2502" spans="1:4" s="6" customFormat="1" x14ac:dyDescent="0.25">
      <c r="A2502" s="6" t="str">
        <f>T("871110")</f>
        <v>871110</v>
      </c>
      <c r="B2502" s="6" t="str">
        <f>T("A MOTEUR A PISTON ALTERNATIF, D'UNE CYLINDREE N'EXCEDANT PAS 50 CM³")</f>
        <v>A MOTEUR A PISTON ALTERNATIF, D'UNE CYLINDREE N'EXCEDANT PAS 50 CM³</v>
      </c>
      <c r="C2502" s="1"/>
      <c r="D2502" s="1"/>
    </row>
    <row r="2503" spans="1:4" x14ac:dyDescent="0.25">
      <c r="B2503" t="str">
        <f>T("   Cameroun")</f>
        <v xml:space="preserve">   Cameroun</v>
      </c>
      <c r="C2503" s="2">
        <v>50</v>
      </c>
      <c r="D2503" s="2">
        <v>330000</v>
      </c>
    </row>
    <row r="2504" spans="1:4" x14ac:dyDescent="0.25">
      <c r="B2504" t="str">
        <f>T("   Ouganda")</f>
        <v xml:space="preserve">   Ouganda</v>
      </c>
      <c r="C2504" s="2">
        <v>794</v>
      </c>
      <c r="D2504" s="2">
        <v>300000</v>
      </c>
    </row>
    <row r="2505" spans="1:4" s="6" customFormat="1" x14ac:dyDescent="0.25">
      <c r="B2505" s="6" t="str">
        <f>T("   Total Monde")</f>
        <v xml:space="preserve">   Total Monde</v>
      </c>
      <c r="C2505" s="1">
        <v>844</v>
      </c>
      <c r="D2505" s="1">
        <v>630000</v>
      </c>
    </row>
    <row r="2506" spans="1:4" s="6" customFormat="1" x14ac:dyDescent="0.25">
      <c r="A2506" s="6" t="str">
        <f>T("871120")</f>
        <v>871120</v>
      </c>
      <c r="B2506" s="6" t="str">
        <f>T("A MOTEUR A PISTON ALTERNATIF, D'UNE CYLINDREE EXCEDANT 50 CM³ MAIS N'EXCEDANT PAS 250")</f>
        <v>A MOTEUR A PISTON ALTERNATIF, D'UNE CYLINDREE EXCEDANT 50 CM³ MAIS N'EXCEDANT PAS 250</v>
      </c>
      <c r="C2506" s="1"/>
      <c r="D2506" s="1"/>
    </row>
    <row r="2507" spans="1:4" x14ac:dyDescent="0.25">
      <c r="B2507" t="str">
        <f>T("   Belgique")</f>
        <v xml:space="preserve">   Belgique</v>
      </c>
      <c r="C2507" s="2">
        <v>160</v>
      </c>
      <c r="D2507" s="2">
        <v>190000</v>
      </c>
    </row>
    <row r="2508" spans="1:4" x14ac:dyDescent="0.25">
      <c r="B2508" t="str">
        <f>T("   Gabon")</f>
        <v xml:space="preserve">   Gabon</v>
      </c>
      <c r="C2508" s="2">
        <v>350</v>
      </c>
      <c r="D2508" s="2">
        <v>1200000</v>
      </c>
    </row>
    <row r="2509" spans="1:4" x14ac:dyDescent="0.25">
      <c r="B2509" t="str">
        <f>T("   Guinée Equatoriale")</f>
        <v xml:space="preserve">   Guinée Equatoriale</v>
      </c>
      <c r="C2509" s="2">
        <v>900</v>
      </c>
      <c r="D2509" s="2">
        <v>1100000</v>
      </c>
    </row>
    <row r="2510" spans="1:4" x14ac:dyDescent="0.25">
      <c r="B2510" t="str">
        <f>T("   Namibie")</f>
        <v xml:space="preserve">   Namibie</v>
      </c>
      <c r="C2510" s="2">
        <v>219</v>
      </c>
      <c r="D2510" s="2">
        <v>501809</v>
      </c>
    </row>
    <row r="2511" spans="1:4" s="6" customFormat="1" x14ac:dyDescent="0.25">
      <c r="B2511" s="6" t="str">
        <f>T("   Total Monde")</f>
        <v xml:space="preserve">   Total Monde</v>
      </c>
      <c r="C2511" s="1">
        <v>1629</v>
      </c>
      <c r="D2511" s="1">
        <v>2991809</v>
      </c>
    </row>
    <row r="2512" spans="1:4" s="6" customFormat="1" x14ac:dyDescent="0.25">
      <c r="A2512" s="6" t="str">
        <f>T("871190")</f>
        <v>871190</v>
      </c>
      <c r="B2512" s="6" t="str">
        <f>T("AUTRES")</f>
        <v>AUTRES</v>
      </c>
      <c r="C2512" s="1"/>
      <c r="D2512" s="1"/>
    </row>
    <row r="2513" spans="1:4" x14ac:dyDescent="0.25">
      <c r="B2513" t="str">
        <f>T("   Belgique")</f>
        <v xml:space="preserve">   Belgique</v>
      </c>
      <c r="C2513" s="2">
        <v>120</v>
      </c>
      <c r="D2513" s="2">
        <v>200000</v>
      </c>
    </row>
    <row r="2514" spans="1:4" x14ac:dyDescent="0.25">
      <c r="B2514" t="str">
        <f>T("   Côte d'Ivoire")</f>
        <v xml:space="preserve">   Côte d'Ivoire</v>
      </c>
      <c r="C2514" s="2">
        <v>900</v>
      </c>
      <c r="D2514" s="2">
        <v>1000000</v>
      </c>
    </row>
    <row r="2515" spans="1:4" x14ac:dyDescent="0.25">
      <c r="B2515" t="str">
        <f>T("   France")</f>
        <v xml:space="preserve">   France</v>
      </c>
      <c r="C2515" s="2">
        <v>75</v>
      </c>
      <c r="D2515" s="2">
        <v>300000</v>
      </c>
    </row>
    <row r="2516" spans="1:4" x14ac:dyDescent="0.25">
      <c r="B2516" t="str">
        <f>T("   Gabon")</f>
        <v xml:space="preserve">   Gabon</v>
      </c>
      <c r="C2516" s="2">
        <v>4800</v>
      </c>
      <c r="D2516" s="2">
        <v>2200000</v>
      </c>
    </row>
    <row r="2517" spans="1:4" x14ac:dyDescent="0.25">
      <c r="B2517" t="str">
        <f>T("   Guinée Equatoriale")</f>
        <v xml:space="preserve">   Guinée Equatoriale</v>
      </c>
      <c r="C2517" s="2">
        <v>150</v>
      </c>
      <c r="D2517" s="2">
        <v>225000</v>
      </c>
    </row>
    <row r="2518" spans="1:4" s="6" customFormat="1" x14ac:dyDescent="0.25">
      <c r="B2518" s="6" t="str">
        <f>T("   Total Monde")</f>
        <v xml:space="preserve">   Total Monde</v>
      </c>
      <c r="C2518" s="1">
        <v>6045</v>
      </c>
      <c r="D2518" s="1">
        <v>3925000</v>
      </c>
    </row>
    <row r="2519" spans="1:4" s="6" customFormat="1" x14ac:dyDescent="0.25">
      <c r="A2519" s="6" t="str">
        <f>T("871200")</f>
        <v>871200</v>
      </c>
      <c r="B2519" s="6" t="str">
        <f>T("BICYCLETTES ET AUTRES CYCLES (Y COMPRIS LES TRIPORTEURS), SANS MOTEUR.")</f>
        <v>BICYCLETTES ET AUTRES CYCLES (Y COMPRIS LES TRIPORTEURS), SANS MOTEUR.</v>
      </c>
      <c r="C2519" s="1"/>
      <c r="D2519" s="1"/>
    </row>
    <row r="2520" spans="1:4" x14ac:dyDescent="0.25">
      <c r="B2520" t="str">
        <f>T("   Afrique du Sud")</f>
        <v xml:space="preserve">   Afrique du Sud</v>
      </c>
      <c r="C2520" s="2">
        <v>10</v>
      </c>
      <c r="D2520" s="2">
        <v>491970</v>
      </c>
    </row>
    <row r="2521" spans="1:4" s="6" customFormat="1" x14ac:dyDescent="0.25">
      <c r="B2521" s="6" t="str">
        <f>T("   Total Monde")</f>
        <v xml:space="preserve">   Total Monde</v>
      </c>
      <c r="C2521" s="1">
        <v>10</v>
      </c>
      <c r="D2521" s="1">
        <v>491970</v>
      </c>
    </row>
    <row r="2522" spans="1:4" s="6" customFormat="1" x14ac:dyDescent="0.25">
      <c r="A2522" s="6" t="str">
        <f>T("871411")</f>
        <v>871411</v>
      </c>
      <c r="B2522" s="6" t="str">
        <f>T("SELLES")</f>
        <v>SELLES</v>
      </c>
      <c r="C2522" s="1"/>
      <c r="D2522" s="1"/>
    </row>
    <row r="2523" spans="1:4" x14ac:dyDescent="0.25">
      <c r="B2523" t="str">
        <f>T("   Liechtenstein")</f>
        <v xml:space="preserve">   Liechtenstein</v>
      </c>
      <c r="C2523" s="2">
        <v>225</v>
      </c>
      <c r="D2523" s="2">
        <v>348527</v>
      </c>
    </row>
    <row r="2524" spans="1:4" s="6" customFormat="1" x14ac:dyDescent="0.25">
      <c r="B2524" s="6" t="str">
        <f>T("   Total Monde")</f>
        <v xml:space="preserve">   Total Monde</v>
      </c>
      <c r="C2524" s="1">
        <v>225</v>
      </c>
      <c r="D2524" s="1">
        <v>348527</v>
      </c>
    </row>
    <row r="2525" spans="1:4" s="6" customFormat="1" x14ac:dyDescent="0.25">
      <c r="A2525" s="6" t="str">
        <f>T("871610")</f>
        <v>871610</v>
      </c>
      <c r="B2525" s="6" t="str">
        <f>T("REMORQUES ET SEMIREMORQUES POUR L'HABITATION OU LE CAMPING, DU TYPE CARAVANE")</f>
        <v>REMORQUES ET SEMIREMORQUES POUR L'HABITATION OU LE CAMPING, DU TYPE CARAVANE</v>
      </c>
      <c r="C2525" s="1"/>
      <c r="D2525" s="1"/>
    </row>
    <row r="2526" spans="1:4" x14ac:dyDescent="0.25">
      <c r="B2526" t="str">
        <f>T("   Emirats Arabes Unis")</f>
        <v xml:space="preserve">   Emirats Arabes Unis</v>
      </c>
      <c r="C2526" s="2">
        <v>8500</v>
      </c>
      <c r="D2526" s="2">
        <v>1000000</v>
      </c>
    </row>
    <row r="2527" spans="1:4" x14ac:dyDescent="0.25">
      <c r="B2527" t="str">
        <f>T("   Chine")</f>
        <v xml:space="preserve">   Chine</v>
      </c>
      <c r="C2527" s="2">
        <v>50000</v>
      </c>
      <c r="D2527" s="2">
        <v>3000000</v>
      </c>
    </row>
    <row r="2528" spans="1:4" s="6" customFormat="1" x14ac:dyDescent="0.25">
      <c r="B2528" s="6" t="str">
        <f>T("   Total Monde")</f>
        <v xml:space="preserve">   Total Monde</v>
      </c>
      <c r="C2528" s="1">
        <v>58500</v>
      </c>
      <c r="D2528" s="1">
        <v>4000000</v>
      </c>
    </row>
    <row r="2529" spans="1:4" s="6" customFormat="1" x14ac:dyDescent="0.25">
      <c r="A2529" s="6" t="str">
        <f>T("871639")</f>
        <v>871639</v>
      </c>
      <c r="B2529" s="6" t="str">
        <f>T("AUTRES")</f>
        <v>AUTRES</v>
      </c>
      <c r="C2529" s="1"/>
      <c r="D2529" s="1"/>
    </row>
    <row r="2530" spans="1:4" x14ac:dyDescent="0.25">
      <c r="B2530" t="str">
        <f>T("   Côte d'Ivoire")</f>
        <v xml:space="preserve">   Côte d'Ivoire</v>
      </c>
      <c r="C2530" s="2">
        <v>9960</v>
      </c>
      <c r="D2530" s="2">
        <v>25000000</v>
      </c>
    </row>
    <row r="2531" spans="1:4" s="6" customFormat="1" x14ac:dyDescent="0.25">
      <c r="B2531" s="6" t="str">
        <f>T("   Total Monde")</f>
        <v xml:space="preserve">   Total Monde</v>
      </c>
      <c r="C2531" s="1">
        <v>9960</v>
      </c>
      <c r="D2531" s="1">
        <v>25000000</v>
      </c>
    </row>
    <row r="2532" spans="1:4" s="6" customFormat="1" x14ac:dyDescent="0.25">
      <c r="A2532" s="6" t="str">
        <f>T("871640")</f>
        <v>871640</v>
      </c>
      <c r="B2532" s="6" t="str">
        <f>T("AUTRES REMORQUES ET SEMIREMORQUES")</f>
        <v>AUTRES REMORQUES ET SEMIREMORQUES</v>
      </c>
      <c r="C2532" s="1"/>
      <c r="D2532" s="1"/>
    </row>
    <row r="2533" spans="1:4" x14ac:dyDescent="0.25">
      <c r="B2533" t="str">
        <f>T("   Congo (Brazzaville)")</f>
        <v xml:space="preserve">   Congo (Brazzaville)</v>
      </c>
      <c r="C2533" s="2">
        <v>2000</v>
      </c>
      <c r="D2533" s="2">
        <v>5000000</v>
      </c>
    </row>
    <row r="2534" spans="1:4" x14ac:dyDescent="0.25">
      <c r="B2534" t="str">
        <f>T("   France")</f>
        <v xml:space="preserve">   France</v>
      </c>
      <c r="C2534" s="2">
        <v>98600</v>
      </c>
      <c r="D2534" s="2">
        <v>91222180</v>
      </c>
    </row>
    <row r="2535" spans="1:4" s="6" customFormat="1" x14ac:dyDescent="0.25">
      <c r="B2535" s="6" t="str">
        <f>T("   Total Monde")</f>
        <v xml:space="preserve">   Total Monde</v>
      </c>
      <c r="C2535" s="1">
        <v>100600</v>
      </c>
      <c r="D2535" s="1">
        <v>96222180</v>
      </c>
    </row>
    <row r="2536" spans="1:4" s="6" customFormat="1" x14ac:dyDescent="0.25">
      <c r="A2536" s="6" t="str">
        <f>T("871680")</f>
        <v>871680</v>
      </c>
      <c r="B2536" s="6" t="str">
        <f>T("AUTRES VEHICULES")</f>
        <v>AUTRES VEHICULES</v>
      </c>
      <c r="C2536" s="1"/>
      <c r="D2536" s="1"/>
    </row>
    <row r="2537" spans="1:4" x14ac:dyDescent="0.25">
      <c r="B2537" t="str">
        <f>T("   Côte d'Ivoire")</f>
        <v xml:space="preserve">   Côte d'Ivoire</v>
      </c>
      <c r="C2537" s="2">
        <v>500</v>
      </c>
      <c r="D2537" s="2">
        <v>1133039</v>
      </c>
    </row>
    <row r="2538" spans="1:4" x14ac:dyDescent="0.25">
      <c r="B2538" t="str">
        <f>T("   Mauritanie")</f>
        <v xml:space="preserve">   Mauritanie</v>
      </c>
      <c r="C2538" s="2">
        <v>10500</v>
      </c>
      <c r="D2538" s="2">
        <v>3590000</v>
      </c>
    </row>
    <row r="2539" spans="1:4" s="6" customFormat="1" x14ac:dyDescent="0.25">
      <c r="B2539" s="6" t="str">
        <f>T("   Total Monde")</f>
        <v xml:space="preserve">   Total Monde</v>
      </c>
      <c r="C2539" s="1">
        <v>11000</v>
      </c>
      <c r="D2539" s="1">
        <v>4723039</v>
      </c>
    </row>
    <row r="2540" spans="1:4" s="6" customFormat="1" x14ac:dyDescent="0.25">
      <c r="A2540" s="6" t="str">
        <f>T("880211")</f>
        <v>880211</v>
      </c>
      <c r="B2540" s="6" t="str">
        <f>T("D'UN POIDS A VIDE N'EXCEDANT PAS 2.000 KG")</f>
        <v>D'UN POIDS A VIDE N'EXCEDANT PAS 2.000 KG</v>
      </c>
      <c r="C2540" s="1"/>
      <c r="D2540" s="1"/>
    </row>
    <row r="2541" spans="1:4" x14ac:dyDescent="0.25">
      <c r="B2541" t="str">
        <f>T("   Gabon")</f>
        <v xml:space="preserve">   Gabon</v>
      </c>
      <c r="C2541" s="2">
        <v>350</v>
      </c>
      <c r="D2541" s="2">
        <v>11243595860</v>
      </c>
    </row>
    <row r="2542" spans="1:4" s="6" customFormat="1" x14ac:dyDescent="0.25">
      <c r="B2542" s="6" t="str">
        <f>T("   Total Monde")</f>
        <v xml:space="preserve">   Total Monde</v>
      </c>
      <c r="C2542" s="1">
        <v>350</v>
      </c>
      <c r="D2542" s="1">
        <v>11243595860</v>
      </c>
    </row>
    <row r="2543" spans="1:4" s="6" customFormat="1" x14ac:dyDescent="0.25">
      <c r="A2543" s="6" t="str">
        <f>T("880212")</f>
        <v>880212</v>
      </c>
      <c r="B2543" s="6" t="str">
        <f>T("D'UN POIDS A VIDE EXCEDANT 2.000 KG")</f>
        <v>D'UN POIDS A VIDE EXCEDANT 2.000 KG</v>
      </c>
      <c r="C2543" s="1"/>
      <c r="D2543" s="1"/>
    </row>
    <row r="2544" spans="1:4" x14ac:dyDescent="0.25">
      <c r="B2544" t="str">
        <f>T("   Gabon")</f>
        <v xml:space="preserve">   Gabon</v>
      </c>
      <c r="C2544" s="2">
        <v>10248</v>
      </c>
      <c r="D2544" s="2">
        <v>10994315642</v>
      </c>
    </row>
    <row r="2545" spans="1:4" x14ac:dyDescent="0.25">
      <c r="B2545" t="str">
        <f>T("   Norvège")</f>
        <v xml:space="preserve">   Norvège</v>
      </c>
      <c r="C2545" s="2">
        <v>40</v>
      </c>
      <c r="D2545" s="2">
        <v>1337832</v>
      </c>
    </row>
    <row r="2546" spans="1:4" s="6" customFormat="1" x14ac:dyDescent="0.25">
      <c r="B2546" s="6" t="str">
        <f>T("   Total Monde")</f>
        <v xml:space="preserve">   Total Monde</v>
      </c>
      <c r="C2546" s="1">
        <v>10288</v>
      </c>
      <c r="D2546" s="1">
        <v>10995653474</v>
      </c>
    </row>
    <row r="2547" spans="1:4" s="6" customFormat="1" x14ac:dyDescent="0.25">
      <c r="A2547" s="6" t="str">
        <f>T("880220")</f>
        <v>880220</v>
      </c>
      <c r="B2547" s="6" t="str">
        <f>T("AVIONS ET AUTRES VEHICULES AERIENS, D'UN POIDS A VIDE N'EXCEDANT PAS 2.000 KG")</f>
        <v>AVIONS ET AUTRES VEHICULES AERIENS, D'UN POIDS A VIDE N'EXCEDANT PAS 2.000 KG</v>
      </c>
      <c r="C2547" s="1"/>
      <c r="D2547" s="1"/>
    </row>
    <row r="2548" spans="1:4" x14ac:dyDescent="0.25">
      <c r="B2548" t="str">
        <f>T("   Belgique")</f>
        <v xml:space="preserve">   Belgique</v>
      </c>
      <c r="C2548" s="2">
        <v>350</v>
      </c>
      <c r="D2548" s="2">
        <v>983940</v>
      </c>
    </row>
    <row r="2549" spans="1:4" s="6" customFormat="1" x14ac:dyDescent="0.25">
      <c r="B2549" s="6" t="str">
        <f>T("   Total Monde")</f>
        <v xml:space="preserve">   Total Monde</v>
      </c>
      <c r="C2549" s="1">
        <v>350</v>
      </c>
      <c r="D2549" s="1">
        <v>983940</v>
      </c>
    </row>
    <row r="2550" spans="1:4" s="6" customFormat="1" x14ac:dyDescent="0.25">
      <c r="A2550" s="6" t="str">
        <f>T("880310")</f>
        <v>880310</v>
      </c>
      <c r="B2550" s="6" t="str">
        <f>T("HELICES ET ROTORS, ET LEURS PARTIES")</f>
        <v>HELICES ET ROTORS, ET LEURS PARTIES</v>
      </c>
      <c r="C2550" s="1"/>
      <c r="D2550" s="1"/>
    </row>
    <row r="2551" spans="1:4" x14ac:dyDescent="0.25">
      <c r="B2551" t="str">
        <f>T("   Pays-bas")</f>
        <v xml:space="preserve">   Pays-bas</v>
      </c>
      <c r="C2551" s="2">
        <v>35</v>
      </c>
      <c r="D2551" s="2">
        <v>49924689</v>
      </c>
    </row>
    <row r="2552" spans="1:4" s="6" customFormat="1" x14ac:dyDescent="0.25">
      <c r="B2552" s="6" t="str">
        <f>T("   Total Monde")</f>
        <v xml:space="preserve">   Total Monde</v>
      </c>
      <c r="C2552" s="1">
        <v>35</v>
      </c>
      <c r="D2552" s="1">
        <v>49924689</v>
      </c>
    </row>
    <row r="2553" spans="1:4" s="6" customFormat="1" x14ac:dyDescent="0.25">
      <c r="A2553" s="6" t="str">
        <f>T("880330")</f>
        <v>880330</v>
      </c>
      <c r="B2553" s="6" t="str">
        <f>T("AUTRES PARTIES D'AVIONS OU D'HELICOPTERES")</f>
        <v>AUTRES PARTIES D'AVIONS OU D'HELICOPTERES</v>
      </c>
      <c r="C2553" s="1"/>
      <c r="D2553" s="1"/>
    </row>
    <row r="2554" spans="1:4" x14ac:dyDescent="0.25">
      <c r="B2554" t="str">
        <f>T("   Canada")</f>
        <v xml:space="preserve">   Canada</v>
      </c>
      <c r="C2554" s="2">
        <v>79.5</v>
      </c>
      <c r="D2554" s="2">
        <v>7456949</v>
      </c>
    </row>
    <row r="2555" spans="1:4" x14ac:dyDescent="0.25">
      <c r="B2555" t="str">
        <f>T("   France")</f>
        <v xml:space="preserve">   France</v>
      </c>
      <c r="C2555" s="2">
        <v>12.99</v>
      </c>
      <c r="D2555" s="2">
        <v>9937914</v>
      </c>
    </row>
    <row r="2556" spans="1:4" x14ac:dyDescent="0.25">
      <c r="B2556" t="str">
        <f>T("   Gabon")</f>
        <v xml:space="preserve">   Gabon</v>
      </c>
      <c r="C2556" s="2">
        <v>270.8</v>
      </c>
      <c r="D2556" s="2">
        <v>122869406</v>
      </c>
    </row>
    <row r="2557" spans="1:4" x14ac:dyDescent="0.25">
      <c r="B2557" t="str">
        <f>T("   Royaume-Uni")</f>
        <v xml:space="preserve">   Royaume-Uni</v>
      </c>
      <c r="C2557" s="2">
        <v>53.8</v>
      </c>
      <c r="D2557" s="2">
        <v>789679144</v>
      </c>
    </row>
    <row r="2558" spans="1:4" x14ac:dyDescent="0.25">
      <c r="B2558" t="str">
        <f>T("   Malaisie")</f>
        <v xml:space="preserve">   Malaisie</v>
      </c>
      <c r="C2558" s="2">
        <v>3</v>
      </c>
      <c r="D2558" s="2">
        <v>1078687</v>
      </c>
    </row>
    <row r="2559" spans="1:4" x14ac:dyDescent="0.25">
      <c r="B2559" t="str">
        <f>T("   Pays-bas")</f>
        <v xml:space="preserve">   Pays-bas</v>
      </c>
      <c r="C2559" s="2">
        <v>338</v>
      </c>
      <c r="D2559" s="2">
        <v>418209817</v>
      </c>
    </row>
    <row r="2560" spans="1:4" x14ac:dyDescent="0.25">
      <c r="B2560" t="str">
        <f>T("   Norvège")</f>
        <v xml:space="preserve">   Norvège</v>
      </c>
      <c r="C2560" s="2">
        <v>7</v>
      </c>
      <c r="D2560" s="2">
        <v>4880201</v>
      </c>
    </row>
    <row r="2561" spans="1:4" s="6" customFormat="1" x14ac:dyDescent="0.25">
      <c r="B2561" s="6" t="str">
        <f>T("   Total Monde")</f>
        <v xml:space="preserve">   Total Monde</v>
      </c>
      <c r="C2561" s="1">
        <v>765.09</v>
      </c>
      <c r="D2561" s="1">
        <v>1354112118</v>
      </c>
    </row>
    <row r="2562" spans="1:4" s="6" customFormat="1" x14ac:dyDescent="0.25">
      <c r="A2562" s="6" t="str">
        <f>T("880390")</f>
        <v>880390</v>
      </c>
      <c r="B2562" s="6" t="str">
        <f>T("AUTRES")</f>
        <v>AUTRES</v>
      </c>
      <c r="C2562" s="1"/>
      <c r="D2562" s="1"/>
    </row>
    <row r="2563" spans="1:4" x14ac:dyDescent="0.25">
      <c r="B2563" t="str">
        <f>T("   Pays-bas")</f>
        <v xml:space="preserve">   Pays-bas</v>
      </c>
      <c r="C2563" s="2">
        <v>13</v>
      </c>
      <c r="D2563" s="2">
        <v>18598523</v>
      </c>
    </row>
    <row r="2564" spans="1:4" s="6" customFormat="1" x14ac:dyDescent="0.25">
      <c r="B2564" s="6" t="str">
        <f>T("   Total Monde")</f>
        <v xml:space="preserve">   Total Monde</v>
      </c>
      <c r="C2564" s="1">
        <v>13</v>
      </c>
      <c r="D2564" s="1">
        <v>18598523</v>
      </c>
    </row>
    <row r="2565" spans="1:4" s="6" customFormat="1" x14ac:dyDescent="0.25">
      <c r="A2565" s="6" t="str">
        <f>T("890110")</f>
        <v>890110</v>
      </c>
      <c r="B2565" s="6" t="str">
        <f>T("PAQUEBOTS, BATEAUX DE CROISIERES ET BATEAUX SIMILAIRES PRINCIPALEMENT CONCUS POUR LE")</f>
        <v>PAQUEBOTS, BATEAUX DE CROISIERES ET BATEAUX SIMILAIRES PRINCIPALEMENT CONCUS POUR LE</v>
      </c>
      <c r="C2565" s="1"/>
      <c r="D2565" s="1"/>
    </row>
    <row r="2566" spans="1:4" x14ac:dyDescent="0.25">
      <c r="B2566" t="str">
        <f>T("   France")</f>
        <v xml:space="preserve">   France</v>
      </c>
      <c r="C2566" s="2">
        <v>8000</v>
      </c>
      <c r="D2566" s="2">
        <v>162514090</v>
      </c>
    </row>
    <row r="2567" spans="1:4" s="6" customFormat="1" x14ac:dyDescent="0.25">
      <c r="B2567" s="6" t="str">
        <f>T("   Total Monde")</f>
        <v xml:space="preserve">   Total Monde</v>
      </c>
      <c r="C2567" s="1">
        <v>8000</v>
      </c>
      <c r="D2567" s="1">
        <v>162514090</v>
      </c>
    </row>
    <row r="2568" spans="1:4" s="6" customFormat="1" x14ac:dyDescent="0.25">
      <c r="A2568" s="6" t="str">
        <f>T("890190")</f>
        <v>890190</v>
      </c>
      <c r="B2568" s="6" t="str">
        <f>T("AUTRES BATEAUX POUR LE TRANSPORT DE MARCHANDISES ET AUTRES BATEAUX CONCUS A LA FOIS P")</f>
        <v>AUTRES BATEAUX POUR LE TRANSPORT DE MARCHANDISES ET AUTRES BATEAUX CONCUS A LA FOIS P</v>
      </c>
      <c r="C2568" s="1"/>
      <c r="D2568" s="1"/>
    </row>
    <row r="2569" spans="1:4" x14ac:dyDescent="0.25">
      <c r="B2569" t="str">
        <f>T("   Gabon")</f>
        <v xml:space="preserve">   Gabon</v>
      </c>
      <c r="C2569" s="2">
        <v>16715</v>
      </c>
      <c r="D2569" s="2">
        <v>235430124</v>
      </c>
    </row>
    <row r="2570" spans="1:4" s="6" customFormat="1" x14ac:dyDescent="0.25">
      <c r="B2570" s="6" t="str">
        <f>T("   Total Monde")</f>
        <v xml:space="preserve">   Total Monde</v>
      </c>
      <c r="C2570" s="1">
        <v>16715</v>
      </c>
      <c r="D2570" s="1">
        <v>235430124</v>
      </c>
    </row>
    <row r="2571" spans="1:4" s="6" customFormat="1" x14ac:dyDescent="0.25">
      <c r="A2571" s="6" t="str">
        <f>T("890399")</f>
        <v>890399</v>
      </c>
      <c r="B2571" s="6" t="str">
        <f>T("AUTRES")</f>
        <v>AUTRES</v>
      </c>
      <c r="C2571" s="1"/>
      <c r="D2571" s="1"/>
    </row>
    <row r="2572" spans="1:4" x14ac:dyDescent="0.25">
      <c r="B2572" t="str">
        <f>T("   France")</f>
        <v xml:space="preserve">   France</v>
      </c>
      <c r="C2572" s="2">
        <v>8000</v>
      </c>
      <c r="D2572" s="2">
        <v>108493161</v>
      </c>
    </row>
    <row r="2573" spans="1:4" x14ac:dyDescent="0.25">
      <c r="B2573" t="str">
        <f>T("   Gabon")</f>
        <v xml:space="preserve">   Gabon</v>
      </c>
      <c r="C2573" s="2">
        <v>2793000</v>
      </c>
      <c r="D2573" s="2">
        <v>21917442663</v>
      </c>
    </row>
    <row r="2574" spans="1:4" s="6" customFormat="1" x14ac:dyDescent="0.25">
      <c r="B2574" s="6" t="str">
        <f>T("   Total Monde")</f>
        <v xml:space="preserve">   Total Monde</v>
      </c>
      <c r="C2574" s="1">
        <v>2801000</v>
      </c>
      <c r="D2574" s="1">
        <v>22025935824</v>
      </c>
    </row>
    <row r="2575" spans="1:4" s="6" customFormat="1" x14ac:dyDescent="0.25">
      <c r="A2575" s="6" t="str">
        <f>T("890520")</f>
        <v>890520</v>
      </c>
      <c r="B2575" s="6" t="str">
        <f>T("PLATESFORMES DE FORAGE OU D'EXPLOITATION, FLOTTANTES OU SUBMERSIBLES")</f>
        <v>PLATESFORMES DE FORAGE OU D'EXPLOITATION, FLOTTANTES OU SUBMERSIBLES</v>
      </c>
      <c r="C2575" s="1"/>
      <c r="D2575" s="1"/>
    </row>
    <row r="2576" spans="1:4" x14ac:dyDescent="0.25">
      <c r="B2576" t="str">
        <f>T("   Etats-Unis")</f>
        <v xml:space="preserve">   Etats-Unis</v>
      </c>
      <c r="C2576" s="2">
        <v>483</v>
      </c>
      <c r="D2576" s="2">
        <v>24894800</v>
      </c>
    </row>
    <row r="2577" spans="1:4" s="6" customFormat="1" x14ac:dyDescent="0.25">
      <c r="B2577" s="6" t="str">
        <f>T("   Total Monde")</f>
        <v xml:space="preserve">   Total Monde</v>
      </c>
      <c r="C2577" s="1">
        <v>483</v>
      </c>
      <c r="D2577" s="1">
        <v>24894800</v>
      </c>
    </row>
    <row r="2578" spans="1:4" s="6" customFormat="1" x14ac:dyDescent="0.25">
      <c r="A2578" s="6" t="str">
        <f>T("890690")</f>
        <v>890690</v>
      </c>
      <c r="B2578" s="6" t="str">
        <f>T("AUTRES")</f>
        <v>AUTRES</v>
      </c>
      <c r="C2578" s="1"/>
      <c r="D2578" s="1"/>
    </row>
    <row r="2579" spans="1:4" x14ac:dyDescent="0.25">
      <c r="B2579" t="str">
        <f>T("   Gabon")</f>
        <v xml:space="preserve">   Gabon</v>
      </c>
      <c r="C2579" s="2">
        <v>42825</v>
      </c>
      <c r="D2579" s="2">
        <v>440049447</v>
      </c>
    </row>
    <row r="2580" spans="1:4" s="6" customFormat="1" x14ac:dyDescent="0.25">
      <c r="B2580" s="6" t="str">
        <f>T("   Total Monde")</f>
        <v xml:space="preserve">   Total Monde</v>
      </c>
      <c r="C2580" s="1">
        <v>42825</v>
      </c>
      <c r="D2580" s="1">
        <v>440049447</v>
      </c>
    </row>
    <row r="2581" spans="1:4" s="6" customFormat="1" x14ac:dyDescent="0.25">
      <c r="A2581" s="6" t="str">
        <f>T("890710")</f>
        <v>890710</v>
      </c>
      <c r="B2581" s="6" t="str">
        <f>T("RADEAUX GONFLABLES")</f>
        <v>RADEAUX GONFLABLES</v>
      </c>
      <c r="C2581" s="1"/>
      <c r="D2581" s="1"/>
    </row>
    <row r="2582" spans="1:4" x14ac:dyDescent="0.25">
      <c r="B2582" t="str">
        <f>T("   Pays-bas")</f>
        <v xml:space="preserve">   Pays-bas</v>
      </c>
      <c r="C2582" s="2">
        <v>183</v>
      </c>
      <c r="D2582" s="2">
        <v>24442393</v>
      </c>
    </row>
    <row r="2583" spans="1:4" x14ac:dyDescent="0.25">
      <c r="B2583" t="str">
        <f>T("   Norvège")</f>
        <v xml:space="preserve">   Norvège</v>
      </c>
      <c r="C2583" s="2">
        <v>200</v>
      </c>
      <c r="D2583" s="2">
        <v>5739795</v>
      </c>
    </row>
    <row r="2584" spans="1:4" s="6" customFormat="1" x14ac:dyDescent="0.25">
      <c r="B2584" s="6" t="str">
        <f>T("   Total Monde")</f>
        <v xml:space="preserve">   Total Monde</v>
      </c>
      <c r="C2584" s="1">
        <v>383</v>
      </c>
      <c r="D2584" s="1">
        <v>30182188</v>
      </c>
    </row>
    <row r="2585" spans="1:4" s="6" customFormat="1" x14ac:dyDescent="0.25">
      <c r="A2585" s="6" t="str">
        <f>T("890790")</f>
        <v>890790</v>
      </c>
      <c r="B2585" s="6" t="str">
        <f>T("AUTRES")</f>
        <v>AUTRES</v>
      </c>
      <c r="C2585" s="1"/>
      <c r="D2585" s="1"/>
    </row>
    <row r="2586" spans="1:4" x14ac:dyDescent="0.25">
      <c r="B2586" t="str">
        <f>T("   Norvège")</f>
        <v xml:space="preserve">   Norvège</v>
      </c>
      <c r="C2586" s="2">
        <v>97.5</v>
      </c>
      <c r="D2586" s="2">
        <v>12953855</v>
      </c>
    </row>
    <row r="2587" spans="1:4" s="6" customFormat="1" x14ac:dyDescent="0.25">
      <c r="B2587" s="6" t="str">
        <f>T("   Total Monde")</f>
        <v xml:space="preserve">   Total Monde</v>
      </c>
      <c r="C2587" s="1">
        <v>97.5</v>
      </c>
      <c r="D2587" s="1">
        <v>12953855</v>
      </c>
    </row>
    <row r="2588" spans="1:4" s="6" customFormat="1" x14ac:dyDescent="0.25">
      <c r="A2588" s="6" t="str">
        <f>T("890800")</f>
        <v>890800</v>
      </c>
      <c r="B2588" s="6" t="str">
        <f>T("BATEAUX ET AUTRES ENGINS FLOTTANTS A DEPECER.")</f>
        <v>BATEAUX ET AUTRES ENGINS FLOTTANTS A DEPECER.</v>
      </c>
      <c r="C2588" s="1"/>
      <c r="D2588" s="1"/>
    </row>
    <row r="2589" spans="1:4" x14ac:dyDescent="0.25">
      <c r="B2589" t="str">
        <f>T("   Guinée Equatoriale")</f>
        <v xml:space="preserve">   Guinée Equatoriale</v>
      </c>
      <c r="C2589" s="2">
        <v>5100</v>
      </c>
      <c r="D2589" s="2">
        <v>7871520</v>
      </c>
    </row>
    <row r="2590" spans="1:4" s="6" customFormat="1" x14ac:dyDescent="0.25">
      <c r="B2590" s="6" t="str">
        <f>T("   Total Monde")</f>
        <v xml:space="preserve">   Total Monde</v>
      </c>
      <c r="C2590" s="1">
        <v>5100</v>
      </c>
      <c r="D2590" s="1">
        <v>7871520</v>
      </c>
    </row>
    <row r="2591" spans="1:4" s="6" customFormat="1" x14ac:dyDescent="0.25">
      <c r="A2591" s="6" t="str">
        <f>T("900490")</f>
        <v>900490</v>
      </c>
      <c r="B2591" s="6" t="str">
        <f>T("AUTRES")</f>
        <v>AUTRES</v>
      </c>
      <c r="C2591" s="1"/>
      <c r="D2591" s="1"/>
    </row>
    <row r="2592" spans="1:4" x14ac:dyDescent="0.25">
      <c r="B2592" t="str">
        <f>T("   Etats-Unis")</f>
        <v xml:space="preserve">   Etats-Unis</v>
      </c>
      <c r="C2592" s="2">
        <v>0.5</v>
      </c>
      <c r="D2592" s="2">
        <v>56909</v>
      </c>
    </row>
    <row r="2593" spans="1:4" s="6" customFormat="1" x14ac:dyDescent="0.25">
      <c r="B2593" s="6" t="str">
        <f>T("   Total Monde")</f>
        <v xml:space="preserve">   Total Monde</v>
      </c>
      <c r="C2593" s="1">
        <v>0.5</v>
      </c>
      <c r="D2593" s="1">
        <v>56909</v>
      </c>
    </row>
    <row r="2594" spans="1:4" s="6" customFormat="1" x14ac:dyDescent="0.25">
      <c r="A2594" s="6" t="str">
        <f>T("900630")</f>
        <v>900630</v>
      </c>
      <c r="B2594" s="6" t="str">
        <f>T("APPAREILS PHOTOGRAPHIQUES SPECIALEMENT CONCUS POUR LA PHOTOGRAPHIE SOUSMARINE OU AER")</f>
        <v>APPAREILS PHOTOGRAPHIQUES SPECIALEMENT CONCUS POUR LA PHOTOGRAPHIE SOUSMARINE OU AER</v>
      </c>
      <c r="C2594" s="1"/>
      <c r="D2594" s="1"/>
    </row>
    <row r="2595" spans="1:4" x14ac:dyDescent="0.25">
      <c r="B2595" t="str">
        <f>T("   Gabon")</f>
        <v xml:space="preserve">   Gabon</v>
      </c>
      <c r="C2595" s="2">
        <v>15</v>
      </c>
      <c r="D2595" s="2">
        <v>781053</v>
      </c>
    </row>
    <row r="2596" spans="1:4" s="6" customFormat="1" x14ac:dyDescent="0.25">
      <c r="B2596" s="6" t="str">
        <f>T("   Total Monde")</f>
        <v xml:space="preserve">   Total Monde</v>
      </c>
      <c r="C2596" s="1">
        <v>15</v>
      </c>
      <c r="D2596" s="1">
        <v>781053</v>
      </c>
    </row>
    <row r="2597" spans="1:4" s="6" customFormat="1" x14ac:dyDescent="0.25">
      <c r="A2597" s="6" t="str">
        <f>T("900719")</f>
        <v>900719</v>
      </c>
      <c r="B2597" s="6" t="str">
        <f>T("AUTRES CAMERAS MEME AVEC PRISE ET REPRODUCTION DU SON")</f>
        <v>AUTRES CAMERAS MEME AVEC PRISE ET REPRODUCTION DU SON</v>
      </c>
      <c r="C2597" s="1"/>
      <c r="D2597" s="1"/>
    </row>
    <row r="2598" spans="1:4" x14ac:dyDescent="0.25">
      <c r="B2598" t="str">
        <f>T("   Belgique")</f>
        <v xml:space="preserve">   Belgique</v>
      </c>
      <c r="C2598" s="2">
        <v>16</v>
      </c>
      <c r="D2598" s="2">
        <v>918344</v>
      </c>
    </row>
    <row r="2599" spans="1:4" x14ac:dyDescent="0.25">
      <c r="B2599" t="str">
        <f>T("   France")</f>
        <v xml:space="preserve">   France</v>
      </c>
      <c r="C2599" s="2">
        <v>12</v>
      </c>
      <c r="D2599" s="2">
        <v>65071</v>
      </c>
    </row>
    <row r="2600" spans="1:4" s="6" customFormat="1" x14ac:dyDescent="0.25">
      <c r="B2600" s="6" t="str">
        <f>T("   Total Monde")</f>
        <v xml:space="preserve">   Total Monde</v>
      </c>
      <c r="C2600" s="1">
        <v>28</v>
      </c>
      <c r="D2600" s="1">
        <v>983415</v>
      </c>
    </row>
    <row r="2601" spans="1:4" s="6" customFormat="1" x14ac:dyDescent="0.25">
      <c r="A2601" s="6" t="str">
        <f>T("901410")</f>
        <v>901410</v>
      </c>
      <c r="B2601" s="6" t="str">
        <f>T("BOUSSOLES, Y COMPRIS LES COMPAS DE NAVIGATION")</f>
        <v>BOUSSOLES, Y COMPRIS LES COMPAS DE NAVIGATION</v>
      </c>
      <c r="C2601" s="1"/>
      <c r="D2601" s="1"/>
    </row>
    <row r="2602" spans="1:4" x14ac:dyDescent="0.25">
      <c r="B2602" t="str">
        <f>T("   Ghana")</f>
        <v xml:space="preserve">   Ghana</v>
      </c>
      <c r="C2602" s="2">
        <v>37328</v>
      </c>
      <c r="D2602" s="2">
        <v>754536494</v>
      </c>
    </row>
    <row r="2603" spans="1:4" x14ac:dyDescent="0.25">
      <c r="B2603" t="str">
        <f>T("   Norvège")</f>
        <v xml:space="preserve">   Norvège</v>
      </c>
      <c r="C2603" s="2">
        <v>9</v>
      </c>
      <c r="D2603" s="2">
        <v>10578891</v>
      </c>
    </row>
    <row r="2604" spans="1:4" s="6" customFormat="1" x14ac:dyDescent="0.25">
      <c r="B2604" s="6" t="str">
        <f>T("   Total Monde")</f>
        <v xml:space="preserve">   Total Monde</v>
      </c>
      <c r="C2604" s="1">
        <v>37337</v>
      </c>
      <c r="D2604" s="1">
        <v>765115385</v>
      </c>
    </row>
    <row r="2605" spans="1:4" s="6" customFormat="1" x14ac:dyDescent="0.25">
      <c r="A2605" s="6" t="str">
        <f>T("901510")</f>
        <v>901510</v>
      </c>
      <c r="B2605" s="6" t="str">
        <f>T("TELEMETRES")</f>
        <v>TELEMETRES</v>
      </c>
      <c r="C2605" s="1"/>
      <c r="D2605" s="1"/>
    </row>
    <row r="2606" spans="1:4" x14ac:dyDescent="0.25">
      <c r="B2606" t="str">
        <f>T("   Pays-bas")</f>
        <v xml:space="preserve">   Pays-bas</v>
      </c>
      <c r="C2606" s="2">
        <v>20</v>
      </c>
      <c r="D2606" s="2">
        <v>4785018</v>
      </c>
    </row>
    <row r="2607" spans="1:4" s="6" customFormat="1" x14ac:dyDescent="0.25">
      <c r="B2607" s="6" t="str">
        <f>T("   Total Monde")</f>
        <v xml:space="preserve">   Total Monde</v>
      </c>
      <c r="C2607" s="1">
        <v>20</v>
      </c>
      <c r="D2607" s="1">
        <v>4785018</v>
      </c>
    </row>
    <row r="2608" spans="1:4" s="6" customFormat="1" x14ac:dyDescent="0.25">
      <c r="A2608" s="6" t="str">
        <f>T("901530")</f>
        <v>901530</v>
      </c>
      <c r="B2608" s="6" t="str">
        <f>T("Niveaux")</f>
        <v>Niveaux</v>
      </c>
      <c r="C2608" s="1"/>
      <c r="D2608" s="1"/>
    </row>
    <row r="2609" spans="1:4" x14ac:dyDescent="0.25">
      <c r="B2609" t="str">
        <f>T("   Togo")</f>
        <v xml:space="preserve">   Togo</v>
      </c>
      <c r="C2609" s="2">
        <v>3400</v>
      </c>
      <c r="D2609" s="2">
        <v>804762</v>
      </c>
    </row>
    <row r="2610" spans="1:4" s="6" customFormat="1" x14ac:dyDescent="0.25">
      <c r="B2610" s="6" t="str">
        <f>T("   Total Monde")</f>
        <v xml:space="preserve">   Total Monde</v>
      </c>
      <c r="C2610" s="1">
        <v>3400</v>
      </c>
      <c r="D2610" s="1">
        <v>804762</v>
      </c>
    </row>
    <row r="2611" spans="1:4" s="6" customFormat="1" x14ac:dyDescent="0.25">
      <c r="A2611" s="6" t="str">
        <f>T("901580")</f>
        <v>901580</v>
      </c>
      <c r="B2611" s="6" t="str">
        <f>T("AUTRES INSTRUMENTS ET APPAREILS")</f>
        <v>AUTRES INSTRUMENTS ET APPAREILS</v>
      </c>
      <c r="C2611" s="1"/>
      <c r="D2611" s="1"/>
    </row>
    <row r="2612" spans="1:4" x14ac:dyDescent="0.25">
      <c r="B2612" t="str">
        <f>T("   France")</f>
        <v xml:space="preserve">   France</v>
      </c>
      <c r="C2612" s="2">
        <v>1836</v>
      </c>
      <c r="D2612" s="2">
        <v>171287965</v>
      </c>
    </row>
    <row r="2613" spans="1:4" x14ac:dyDescent="0.25">
      <c r="B2613" t="str">
        <f>T("   Gabon")</f>
        <v xml:space="preserve">   Gabon</v>
      </c>
      <c r="C2613" s="2">
        <v>25923</v>
      </c>
      <c r="D2613" s="2">
        <v>292497967</v>
      </c>
    </row>
    <row r="2614" spans="1:4" x14ac:dyDescent="0.25">
      <c r="B2614" t="str">
        <f>T("   Royaume-Uni")</f>
        <v xml:space="preserve">   Royaume-Uni</v>
      </c>
      <c r="C2614" s="2">
        <v>7556</v>
      </c>
      <c r="D2614" s="2">
        <v>111917561</v>
      </c>
    </row>
    <row r="2615" spans="1:4" x14ac:dyDescent="0.25">
      <c r="B2615" t="str">
        <f>T("   Ghana")</f>
        <v xml:space="preserve">   Ghana</v>
      </c>
      <c r="C2615" s="2">
        <v>16274</v>
      </c>
      <c r="D2615" s="2">
        <v>328952918</v>
      </c>
    </row>
    <row r="2616" spans="1:4" x14ac:dyDescent="0.25">
      <c r="B2616" t="str">
        <f>T("   Nigéria")</f>
        <v xml:space="preserve">   Nigéria</v>
      </c>
      <c r="C2616" s="2">
        <v>202</v>
      </c>
      <c r="D2616" s="2">
        <v>18586159</v>
      </c>
    </row>
    <row r="2617" spans="1:4" x14ac:dyDescent="0.25">
      <c r="B2617" t="str">
        <f>T("   Pays-bas")</f>
        <v xml:space="preserve">   Pays-bas</v>
      </c>
      <c r="C2617" s="2">
        <v>1205</v>
      </c>
      <c r="D2617" s="2">
        <v>36956950</v>
      </c>
    </row>
    <row r="2618" spans="1:4" x14ac:dyDescent="0.25">
      <c r="B2618" t="str">
        <f>T("   Togo")</f>
        <v xml:space="preserve">   Togo</v>
      </c>
      <c r="C2618" s="2">
        <v>300</v>
      </c>
      <c r="D2618" s="2">
        <v>5200000</v>
      </c>
    </row>
    <row r="2619" spans="1:4" x14ac:dyDescent="0.25">
      <c r="B2619" t="str">
        <f>T("   Ouganda")</f>
        <v xml:space="preserve">   Ouganda</v>
      </c>
      <c r="C2619" s="2">
        <v>322</v>
      </c>
      <c r="D2619" s="2">
        <v>35420</v>
      </c>
    </row>
    <row r="2620" spans="1:4" s="6" customFormat="1" x14ac:dyDescent="0.25">
      <c r="B2620" s="6" t="str">
        <f>T("   Total Monde")</f>
        <v xml:space="preserve">   Total Monde</v>
      </c>
      <c r="C2620" s="1">
        <v>53618</v>
      </c>
      <c r="D2620" s="1">
        <v>965434940</v>
      </c>
    </row>
    <row r="2621" spans="1:4" s="6" customFormat="1" x14ac:dyDescent="0.25">
      <c r="A2621" s="6" t="str">
        <f>T("901590")</f>
        <v>901590</v>
      </c>
      <c r="B2621" s="6" t="str">
        <f>T("PARTIES ET ACCESSOIRES")</f>
        <v>PARTIES ET ACCESSOIRES</v>
      </c>
      <c r="C2621" s="1"/>
      <c r="D2621" s="1"/>
    </row>
    <row r="2622" spans="1:4" x14ac:dyDescent="0.25">
      <c r="B2622" t="str">
        <f>T("   Belgique")</f>
        <v xml:space="preserve">   Belgique</v>
      </c>
      <c r="C2622" s="2">
        <v>654</v>
      </c>
      <c r="D2622" s="2">
        <v>9665682</v>
      </c>
    </row>
    <row r="2623" spans="1:4" x14ac:dyDescent="0.25">
      <c r="B2623" t="str">
        <f>T("   France")</f>
        <v xml:space="preserve">   France</v>
      </c>
      <c r="C2623" s="2">
        <v>654</v>
      </c>
      <c r="D2623" s="2">
        <v>9665682</v>
      </c>
    </row>
    <row r="2624" spans="1:4" x14ac:dyDescent="0.25">
      <c r="B2624" t="str">
        <f>T("   Gabon")</f>
        <v xml:space="preserve">   Gabon</v>
      </c>
      <c r="C2624" s="2">
        <v>11333</v>
      </c>
      <c r="D2624" s="2">
        <v>196771488</v>
      </c>
    </row>
    <row r="2625" spans="1:4" x14ac:dyDescent="0.25">
      <c r="B2625" t="str">
        <f>T("   Ghana")</f>
        <v xml:space="preserve">   Ghana</v>
      </c>
      <c r="C2625" s="2">
        <v>87284</v>
      </c>
      <c r="D2625" s="2">
        <v>381462220</v>
      </c>
    </row>
    <row r="2626" spans="1:4" x14ac:dyDescent="0.25">
      <c r="B2626" t="str">
        <f>T("   Madagascar")</f>
        <v xml:space="preserve">   Madagascar</v>
      </c>
      <c r="C2626" s="2">
        <v>280</v>
      </c>
      <c r="D2626" s="2">
        <v>49790</v>
      </c>
    </row>
    <row r="2627" spans="1:4" x14ac:dyDescent="0.25">
      <c r="B2627" t="str">
        <f>T("   Pays-bas")</f>
        <v xml:space="preserve">   Pays-bas</v>
      </c>
      <c r="C2627" s="2">
        <v>107</v>
      </c>
      <c r="D2627" s="2">
        <v>3983809</v>
      </c>
    </row>
    <row r="2628" spans="1:4" x14ac:dyDescent="0.25">
      <c r="B2628" t="str">
        <f>T("   Singapour")</f>
        <v xml:space="preserve">   Singapour</v>
      </c>
      <c r="C2628" s="2">
        <v>711</v>
      </c>
      <c r="D2628" s="2">
        <v>2268414</v>
      </c>
    </row>
    <row r="2629" spans="1:4" x14ac:dyDescent="0.25">
      <c r="B2629" t="str">
        <f>T("   Turquie")</f>
        <v xml:space="preserve">   Turquie</v>
      </c>
      <c r="C2629" s="2">
        <v>86000</v>
      </c>
      <c r="D2629" s="2">
        <v>1386941089</v>
      </c>
    </row>
    <row r="2630" spans="1:4" s="6" customFormat="1" x14ac:dyDescent="0.25">
      <c r="B2630" s="6" t="str">
        <f>T("   Total Monde")</f>
        <v xml:space="preserve">   Total Monde</v>
      </c>
      <c r="C2630" s="1">
        <v>187023</v>
      </c>
      <c r="D2630" s="1">
        <v>1990808174</v>
      </c>
    </row>
    <row r="2631" spans="1:4" s="6" customFormat="1" x14ac:dyDescent="0.25">
      <c r="A2631" s="6" t="str">
        <f>T("901600")</f>
        <v>901600</v>
      </c>
      <c r="B2631" s="6" t="str">
        <f>T("BALANCES SENSIBLES A UN POIDS DE 5 CG OU MOINS, AVEC OU SANS POIDS.")</f>
        <v>BALANCES SENSIBLES A UN POIDS DE 5 CG OU MOINS, AVEC OU SANS POIDS.</v>
      </c>
      <c r="C2631" s="1"/>
      <c r="D2631" s="1"/>
    </row>
    <row r="2632" spans="1:4" x14ac:dyDescent="0.25">
      <c r="B2632" t="str">
        <f>T("   Canada")</f>
        <v xml:space="preserve">   Canada</v>
      </c>
      <c r="C2632" s="2">
        <v>43.4</v>
      </c>
      <c r="D2632" s="2">
        <v>25122378</v>
      </c>
    </row>
    <row r="2633" spans="1:4" s="6" customFormat="1" x14ac:dyDescent="0.25">
      <c r="B2633" s="6" t="str">
        <f>T("   Total Monde")</f>
        <v xml:space="preserve">   Total Monde</v>
      </c>
      <c r="C2633" s="1">
        <v>43.4</v>
      </c>
      <c r="D2633" s="1">
        <v>25122378</v>
      </c>
    </row>
    <row r="2634" spans="1:4" s="6" customFormat="1" x14ac:dyDescent="0.25">
      <c r="A2634" s="6" t="str">
        <f>T("901780")</f>
        <v>901780</v>
      </c>
      <c r="B2634" s="6" t="str">
        <f>T("AUTRES INSTRUMENTS")</f>
        <v>AUTRES INSTRUMENTS</v>
      </c>
      <c r="C2634" s="1"/>
      <c r="D2634" s="1"/>
    </row>
    <row r="2635" spans="1:4" x14ac:dyDescent="0.25">
      <c r="B2635" t="str">
        <f>T("   Ghana")</f>
        <v xml:space="preserve">   Ghana</v>
      </c>
      <c r="C2635" s="2">
        <v>188</v>
      </c>
      <c r="D2635" s="2">
        <v>1892503</v>
      </c>
    </row>
    <row r="2636" spans="1:4" x14ac:dyDescent="0.25">
      <c r="B2636" t="str">
        <f>T("   Etats-Unis")</f>
        <v xml:space="preserve">   Etats-Unis</v>
      </c>
      <c r="C2636" s="2">
        <v>92</v>
      </c>
      <c r="D2636" s="2">
        <v>6434917</v>
      </c>
    </row>
    <row r="2637" spans="1:4" s="6" customFormat="1" x14ac:dyDescent="0.25">
      <c r="B2637" s="6" t="str">
        <f>T("   Total Monde")</f>
        <v xml:space="preserve">   Total Monde</v>
      </c>
      <c r="C2637" s="1">
        <v>280</v>
      </c>
      <c r="D2637" s="1">
        <v>8327420</v>
      </c>
    </row>
    <row r="2638" spans="1:4" s="6" customFormat="1" x14ac:dyDescent="0.25">
      <c r="A2638" s="6" t="str">
        <f>T("901890")</f>
        <v>901890</v>
      </c>
      <c r="B2638" s="6" t="str">
        <f>T("AUTRES INSTRUMENTS ET APPAREILS")</f>
        <v>AUTRES INSTRUMENTS ET APPAREILS</v>
      </c>
      <c r="C2638" s="1"/>
      <c r="D2638" s="1"/>
    </row>
    <row r="2639" spans="1:4" x14ac:dyDescent="0.25">
      <c r="B2639" t="str">
        <f>T("   Royaume-Uni")</f>
        <v xml:space="preserve">   Royaume-Uni</v>
      </c>
      <c r="C2639" s="2">
        <v>29</v>
      </c>
      <c r="D2639" s="2">
        <v>175000</v>
      </c>
    </row>
    <row r="2640" spans="1:4" x14ac:dyDescent="0.25">
      <c r="B2640" t="str">
        <f>T("   Togo")</f>
        <v xml:space="preserve">   Togo</v>
      </c>
      <c r="C2640" s="2">
        <v>7000</v>
      </c>
      <c r="D2640" s="2">
        <v>360000</v>
      </c>
    </row>
    <row r="2641" spans="1:4" s="6" customFormat="1" x14ac:dyDescent="0.25">
      <c r="B2641" s="6" t="str">
        <f>T("   Total Monde")</f>
        <v xml:space="preserve">   Total Monde</v>
      </c>
      <c r="C2641" s="1">
        <v>7029</v>
      </c>
      <c r="D2641" s="1">
        <v>535000</v>
      </c>
    </row>
    <row r="2642" spans="1:4" s="6" customFormat="1" x14ac:dyDescent="0.25">
      <c r="A2642" s="6" t="str">
        <f>T("902000")</f>
        <v>902000</v>
      </c>
      <c r="B2642" s="6" t="str">
        <f>T("AUTRES APPAREILS RESPIRATOIRES ET MASQUES A GAZ, A L'EXCLUSION DES MASQUES DE PROTECTIO")</f>
        <v>AUTRES APPAREILS RESPIRATOIRES ET MASQUES A GAZ, A L'EXCLUSION DES MASQUES DE PROTECTIO</v>
      </c>
      <c r="C2642" s="1"/>
      <c r="D2642" s="1"/>
    </row>
    <row r="2643" spans="1:4" x14ac:dyDescent="0.25">
      <c r="B2643" t="str">
        <f>T("   Gabon")</f>
        <v xml:space="preserve">   Gabon</v>
      </c>
      <c r="C2643" s="2">
        <v>6700</v>
      </c>
      <c r="D2643" s="2">
        <v>76383500</v>
      </c>
    </row>
    <row r="2644" spans="1:4" s="6" customFormat="1" x14ac:dyDescent="0.25">
      <c r="B2644" s="6" t="str">
        <f>T("   Total Monde")</f>
        <v xml:space="preserve">   Total Monde</v>
      </c>
      <c r="C2644" s="1">
        <v>6700</v>
      </c>
      <c r="D2644" s="1">
        <v>76383500</v>
      </c>
    </row>
    <row r="2645" spans="1:4" s="6" customFormat="1" x14ac:dyDescent="0.25">
      <c r="A2645" s="6" t="str">
        <f>T("902580")</f>
        <v>902580</v>
      </c>
      <c r="B2645" s="6" t="str">
        <f>T("AUTRES INSTRUMENTS")</f>
        <v>AUTRES INSTRUMENTS</v>
      </c>
      <c r="C2645" s="1"/>
      <c r="D2645" s="1"/>
    </row>
    <row r="2646" spans="1:4" x14ac:dyDescent="0.25">
      <c r="B2646" t="str">
        <f>T("   Burkina Faso")</f>
        <v xml:space="preserve">   Burkina Faso</v>
      </c>
      <c r="C2646" s="2">
        <v>28</v>
      </c>
      <c r="D2646" s="2">
        <v>500000</v>
      </c>
    </row>
    <row r="2647" spans="1:4" s="6" customFormat="1" x14ac:dyDescent="0.25">
      <c r="B2647" s="6" t="str">
        <f>T("   Total Monde")</f>
        <v xml:space="preserve">   Total Monde</v>
      </c>
      <c r="C2647" s="1">
        <v>28</v>
      </c>
      <c r="D2647" s="1">
        <v>500000</v>
      </c>
    </row>
    <row r="2648" spans="1:4" s="6" customFormat="1" x14ac:dyDescent="0.25">
      <c r="A2648" s="6" t="str">
        <f>T("902610")</f>
        <v>902610</v>
      </c>
      <c r="B2648" s="6" t="str">
        <f>T("POUR LA MESURE OU LE CONTROLE DU DEBIT OU DU NIVEAU DES LIQUIDES")</f>
        <v>POUR LA MESURE OU LE CONTROLE DU DEBIT OU DU NIVEAU DES LIQUIDES</v>
      </c>
      <c r="C2648" s="1"/>
      <c r="D2648" s="1"/>
    </row>
    <row r="2649" spans="1:4" x14ac:dyDescent="0.25">
      <c r="B2649" t="str">
        <f>T("   Canada")</f>
        <v xml:space="preserve">   Canada</v>
      </c>
      <c r="C2649" s="2">
        <v>0.03</v>
      </c>
      <c r="D2649" s="2">
        <v>9562</v>
      </c>
    </row>
    <row r="2650" spans="1:4" x14ac:dyDescent="0.25">
      <c r="B2650" t="str">
        <f>T("   Gabon")</f>
        <v xml:space="preserve">   Gabon</v>
      </c>
      <c r="C2650" s="2">
        <v>29</v>
      </c>
      <c r="D2650" s="2">
        <v>1925774</v>
      </c>
    </row>
    <row r="2651" spans="1:4" s="6" customFormat="1" x14ac:dyDescent="0.25">
      <c r="B2651" s="6" t="str">
        <f>T("   Total Monde")</f>
        <v xml:space="preserve">   Total Monde</v>
      </c>
      <c r="C2651" s="1">
        <v>29.03</v>
      </c>
      <c r="D2651" s="1">
        <v>1935336</v>
      </c>
    </row>
    <row r="2652" spans="1:4" s="6" customFormat="1" x14ac:dyDescent="0.25">
      <c r="A2652" s="6" t="str">
        <f>T("902620")</f>
        <v>902620</v>
      </c>
      <c r="B2652" s="6" t="str">
        <f>T("POUR LA MESURE OU LE CONTROLE DE LA PRESSION")</f>
        <v>POUR LA MESURE OU LE CONTROLE DE LA PRESSION</v>
      </c>
      <c r="C2652" s="1"/>
      <c r="D2652" s="1"/>
    </row>
    <row r="2653" spans="1:4" x14ac:dyDescent="0.25">
      <c r="B2653" t="str">
        <f>T("   Canada")</f>
        <v xml:space="preserve">   Canada</v>
      </c>
      <c r="C2653" s="2">
        <v>26</v>
      </c>
      <c r="D2653" s="2">
        <v>20787571</v>
      </c>
    </row>
    <row r="2654" spans="1:4" x14ac:dyDescent="0.25">
      <c r="B2654" t="str">
        <f>T("   Gabon")</f>
        <v xml:space="preserve">   Gabon</v>
      </c>
      <c r="C2654" s="2">
        <v>10.4</v>
      </c>
      <c r="D2654" s="2">
        <v>780267</v>
      </c>
    </row>
    <row r="2655" spans="1:4" x14ac:dyDescent="0.25">
      <c r="B2655" t="str">
        <f>T("   Royaume-Uni")</f>
        <v xml:space="preserve">   Royaume-Uni</v>
      </c>
      <c r="C2655" s="2">
        <v>10</v>
      </c>
      <c r="D2655" s="2">
        <v>907867</v>
      </c>
    </row>
    <row r="2656" spans="1:4" x14ac:dyDescent="0.25">
      <c r="B2656" t="str">
        <f>T("   Ghana")</f>
        <v xml:space="preserve">   Ghana</v>
      </c>
      <c r="C2656" s="2">
        <v>3569</v>
      </c>
      <c r="D2656" s="2">
        <v>122552122</v>
      </c>
    </row>
    <row r="2657" spans="1:4" x14ac:dyDescent="0.25">
      <c r="B2657" t="str">
        <f>T("   Pays-bas")</f>
        <v xml:space="preserve">   Pays-bas</v>
      </c>
      <c r="C2657" s="2">
        <v>773</v>
      </c>
      <c r="D2657" s="2">
        <v>3263210</v>
      </c>
    </row>
    <row r="2658" spans="1:4" s="6" customFormat="1" x14ac:dyDescent="0.25">
      <c r="B2658" s="6" t="str">
        <f>T("   Total Monde")</f>
        <v xml:space="preserve">   Total Monde</v>
      </c>
      <c r="C2658" s="1">
        <v>4388.3999999999996</v>
      </c>
      <c r="D2658" s="1">
        <v>148291037</v>
      </c>
    </row>
    <row r="2659" spans="1:4" s="6" customFormat="1" x14ac:dyDescent="0.25">
      <c r="A2659" s="6" t="str">
        <f>T("902690")</f>
        <v>902690</v>
      </c>
      <c r="B2659" s="6" t="str">
        <f>T("PARTIES ET ACCESSOIRES")</f>
        <v>PARTIES ET ACCESSOIRES</v>
      </c>
      <c r="C2659" s="1"/>
      <c r="D2659" s="1"/>
    </row>
    <row r="2660" spans="1:4" x14ac:dyDescent="0.25">
      <c r="B2660" t="str">
        <f>T("   Gabon")</f>
        <v xml:space="preserve">   Gabon</v>
      </c>
      <c r="C2660" s="2">
        <v>2</v>
      </c>
      <c r="D2660" s="2">
        <v>135194</v>
      </c>
    </row>
    <row r="2661" spans="1:4" s="6" customFormat="1" x14ac:dyDescent="0.25">
      <c r="B2661" s="6" t="str">
        <f>T("   Total Monde")</f>
        <v xml:space="preserve">   Total Monde</v>
      </c>
      <c r="C2661" s="1">
        <v>2</v>
      </c>
      <c r="D2661" s="1">
        <v>135194</v>
      </c>
    </row>
    <row r="2662" spans="1:4" s="6" customFormat="1" x14ac:dyDescent="0.25">
      <c r="A2662" s="6" t="str">
        <f>T("902720")</f>
        <v>902720</v>
      </c>
      <c r="B2662" s="6" t="str">
        <f>T("CHROMATOGRAPHES ET APPAREILS D'ELECTROPHORESE")</f>
        <v>CHROMATOGRAPHES ET APPAREILS D'ELECTROPHORESE</v>
      </c>
      <c r="C2662" s="1"/>
      <c r="D2662" s="1"/>
    </row>
    <row r="2663" spans="1:4" x14ac:dyDescent="0.25">
      <c r="B2663" t="str">
        <f>T("   Emirats Arabes Unis")</f>
        <v xml:space="preserve">   Emirats Arabes Unis</v>
      </c>
      <c r="C2663" s="2">
        <v>102</v>
      </c>
      <c r="D2663" s="2">
        <v>26886384</v>
      </c>
    </row>
    <row r="2664" spans="1:4" s="6" customFormat="1" x14ac:dyDescent="0.25">
      <c r="B2664" s="6" t="str">
        <f>T("   Total Monde")</f>
        <v xml:space="preserve">   Total Monde</v>
      </c>
      <c r="C2664" s="1">
        <v>102</v>
      </c>
      <c r="D2664" s="1">
        <v>26886384</v>
      </c>
    </row>
    <row r="2665" spans="1:4" s="6" customFormat="1" x14ac:dyDescent="0.25">
      <c r="A2665" s="6" t="str">
        <f>T("902780")</f>
        <v>902780</v>
      </c>
      <c r="B2665" s="6" t="str">
        <f>T("AUTRES INSTRUMENTS ET APPAREILS")</f>
        <v>AUTRES INSTRUMENTS ET APPAREILS</v>
      </c>
      <c r="C2665" s="1"/>
      <c r="D2665" s="1"/>
    </row>
    <row r="2666" spans="1:4" x14ac:dyDescent="0.25">
      <c r="B2666" t="str">
        <f>T("   Gabon")</f>
        <v xml:space="preserve">   Gabon</v>
      </c>
      <c r="C2666" s="2">
        <v>4957</v>
      </c>
      <c r="D2666" s="2">
        <v>165945252</v>
      </c>
    </row>
    <row r="2667" spans="1:4" x14ac:dyDescent="0.25">
      <c r="B2667" t="str">
        <f>T("   Etats-Unis")</f>
        <v xml:space="preserve">   Etats-Unis</v>
      </c>
      <c r="C2667" s="2">
        <v>143</v>
      </c>
      <c r="D2667" s="2">
        <v>8252014</v>
      </c>
    </row>
    <row r="2668" spans="1:4" s="6" customFormat="1" x14ac:dyDescent="0.25">
      <c r="B2668" s="6" t="str">
        <f>T("   Total Monde")</f>
        <v xml:space="preserve">   Total Monde</v>
      </c>
      <c r="C2668" s="1">
        <v>5100</v>
      </c>
      <c r="D2668" s="1">
        <v>174197266</v>
      </c>
    </row>
    <row r="2669" spans="1:4" s="6" customFormat="1" x14ac:dyDescent="0.25">
      <c r="A2669" s="6" t="str">
        <f>T("903031")</f>
        <v>903031</v>
      </c>
      <c r="B2669" s="6" t="str">
        <f>T("MULTIMETRES, SANS DISPOSITIF ENREGISTREUR")</f>
        <v>MULTIMETRES, SANS DISPOSITIF ENREGISTREUR</v>
      </c>
      <c r="C2669" s="1"/>
      <c r="D2669" s="1"/>
    </row>
    <row r="2670" spans="1:4" x14ac:dyDescent="0.25">
      <c r="B2670" t="str">
        <f>T("   Gabon")</f>
        <v xml:space="preserve">   Gabon</v>
      </c>
      <c r="C2670" s="2">
        <v>124.78</v>
      </c>
      <c r="D2670" s="2">
        <v>45225558</v>
      </c>
    </row>
    <row r="2671" spans="1:4" x14ac:dyDescent="0.25">
      <c r="B2671" t="str">
        <f>T("   Turquie")</f>
        <v xml:space="preserve">   Turquie</v>
      </c>
      <c r="C2671" s="2">
        <v>153</v>
      </c>
      <c r="D2671" s="2">
        <v>2356293</v>
      </c>
    </row>
    <row r="2672" spans="1:4" s="6" customFormat="1" x14ac:dyDescent="0.25">
      <c r="B2672" s="6" t="str">
        <f>T("   Total Monde")</f>
        <v xml:space="preserve">   Total Monde</v>
      </c>
      <c r="C2672" s="1">
        <v>277.77999999999997</v>
      </c>
      <c r="D2672" s="1">
        <v>47581851</v>
      </c>
    </row>
    <row r="2673" spans="1:4" s="6" customFormat="1" x14ac:dyDescent="0.25">
      <c r="A2673" s="6" t="str">
        <f>T("903039")</f>
        <v>903039</v>
      </c>
      <c r="B2673" s="6" t="str">
        <f>T("AUTRES, AVEC DISPOSITIF ENREGISTREUR")</f>
        <v>AUTRES, AVEC DISPOSITIF ENREGISTREUR</v>
      </c>
      <c r="C2673" s="1"/>
      <c r="D2673" s="1"/>
    </row>
    <row r="2674" spans="1:4" x14ac:dyDescent="0.25">
      <c r="B2674" t="str">
        <f>T("   Gabon")</f>
        <v xml:space="preserve">   Gabon</v>
      </c>
      <c r="C2674" s="2">
        <v>10</v>
      </c>
      <c r="D2674" s="2">
        <v>22016543</v>
      </c>
    </row>
    <row r="2675" spans="1:4" s="6" customFormat="1" x14ac:dyDescent="0.25">
      <c r="B2675" s="6" t="str">
        <f>T("   Total Monde")</f>
        <v xml:space="preserve">   Total Monde</v>
      </c>
      <c r="C2675" s="1">
        <v>10</v>
      </c>
      <c r="D2675" s="1">
        <v>22016543</v>
      </c>
    </row>
    <row r="2676" spans="1:4" s="6" customFormat="1" x14ac:dyDescent="0.25">
      <c r="A2676" s="6" t="str">
        <f>T("903040")</f>
        <v>903040</v>
      </c>
      <c r="B2676" s="6" t="str">
        <f>T("AUTRES INSTRUMENTS ET APPAREILS, SPECIALEMENT CONCUS POUR LES TECHNIQUES DE LA TELECO")</f>
        <v>AUTRES INSTRUMENTS ET APPAREILS, SPECIALEMENT CONCUS POUR LES TECHNIQUES DE LA TELECO</v>
      </c>
      <c r="C2676" s="1"/>
      <c r="D2676" s="1"/>
    </row>
    <row r="2677" spans="1:4" x14ac:dyDescent="0.25">
      <c r="B2677" t="str">
        <f>T("   France")</f>
        <v xml:space="preserve">   France</v>
      </c>
      <c r="C2677" s="2">
        <v>76</v>
      </c>
      <c r="D2677" s="2">
        <v>1792426</v>
      </c>
    </row>
    <row r="2678" spans="1:4" s="6" customFormat="1" x14ac:dyDescent="0.25">
      <c r="B2678" s="6" t="str">
        <f>T("   Total Monde")</f>
        <v xml:space="preserve">   Total Monde</v>
      </c>
      <c r="C2678" s="1">
        <v>76</v>
      </c>
      <c r="D2678" s="1">
        <v>1792426</v>
      </c>
    </row>
    <row r="2679" spans="1:4" s="6" customFormat="1" x14ac:dyDescent="0.25">
      <c r="A2679" s="6" t="str">
        <f>T("903089")</f>
        <v>903089</v>
      </c>
      <c r="B2679" s="6" t="str">
        <f>T("AUTRES")</f>
        <v>AUTRES</v>
      </c>
      <c r="C2679" s="1"/>
      <c r="D2679" s="1"/>
    </row>
    <row r="2680" spans="1:4" x14ac:dyDescent="0.25">
      <c r="B2680" t="str">
        <f>T("   Ghana")</f>
        <v xml:space="preserve">   Ghana</v>
      </c>
      <c r="C2680" s="2">
        <v>37720</v>
      </c>
      <c r="D2680" s="2">
        <v>529616685</v>
      </c>
    </row>
    <row r="2681" spans="1:4" x14ac:dyDescent="0.25">
      <c r="B2681" t="str">
        <f>T("   Turquie")</f>
        <v xml:space="preserve">   Turquie</v>
      </c>
      <c r="C2681" s="2">
        <v>50100</v>
      </c>
      <c r="D2681" s="2">
        <v>1881777020</v>
      </c>
    </row>
    <row r="2682" spans="1:4" s="6" customFormat="1" x14ac:dyDescent="0.25">
      <c r="B2682" s="6" t="str">
        <f>T("   Total Monde")</f>
        <v xml:space="preserve">   Total Monde</v>
      </c>
      <c r="C2682" s="1">
        <v>87820</v>
      </c>
      <c r="D2682" s="1">
        <v>2411393705</v>
      </c>
    </row>
    <row r="2683" spans="1:4" s="6" customFormat="1" x14ac:dyDescent="0.25">
      <c r="A2683" s="6" t="str">
        <f>T("903110")</f>
        <v>903110</v>
      </c>
      <c r="B2683" s="6" t="str">
        <f>T("MACHINES A EQUILIBRER LES PIECES MECANIQUES")</f>
        <v>MACHINES A EQUILIBRER LES PIECES MECANIQUES</v>
      </c>
      <c r="C2683" s="1"/>
      <c r="D2683" s="1"/>
    </row>
    <row r="2684" spans="1:4" x14ac:dyDescent="0.25">
      <c r="B2684" t="str">
        <f>T("   Gabon")</f>
        <v xml:space="preserve">   Gabon</v>
      </c>
      <c r="C2684" s="2">
        <v>151</v>
      </c>
      <c r="D2684" s="2">
        <v>2904725</v>
      </c>
    </row>
    <row r="2685" spans="1:4" x14ac:dyDescent="0.25">
      <c r="B2685" t="str">
        <f>T("   Etats-Unis")</f>
        <v xml:space="preserve">   Etats-Unis</v>
      </c>
      <c r="C2685" s="2">
        <v>75</v>
      </c>
      <c r="D2685" s="2">
        <v>3110040</v>
      </c>
    </row>
    <row r="2686" spans="1:4" s="6" customFormat="1" x14ac:dyDescent="0.25">
      <c r="B2686" s="6" t="str">
        <f>T("   Total Monde")</f>
        <v xml:space="preserve">   Total Monde</v>
      </c>
      <c r="C2686" s="1">
        <v>226</v>
      </c>
      <c r="D2686" s="1">
        <v>6014765</v>
      </c>
    </row>
    <row r="2687" spans="1:4" s="6" customFormat="1" x14ac:dyDescent="0.25">
      <c r="A2687" s="6" t="str">
        <f>T("903180")</f>
        <v>903180</v>
      </c>
      <c r="B2687" s="6" t="str">
        <f>T("AUTRES INSTRUMENTS, APPAREILS ET MACHINES")</f>
        <v>AUTRES INSTRUMENTS, APPAREILS ET MACHINES</v>
      </c>
      <c r="C2687" s="1"/>
      <c r="D2687" s="1"/>
    </row>
    <row r="2688" spans="1:4" x14ac:dyDescent="0.25">
      <c r="B2688" t="str">
        <f>T("   Gabon")</f>
        <v xml:space="preserve">   Gabon</v>
      </c>
      <c r="C2688" s="2">
        <v>285</v>
      </c>
      <c r="D2688" s="2">
        <v>118561747</v>
      </c>
    </row>
    <row r="2689" spans="1:4" x14ac:dyDescent="0.25">
      <c r="B2689" t="str">
        <f>T("   Royaume-Uni")</f>
        <v xml:space="preserve">   Royaume-Uni</v>
      </c>
      <c r="C2689" s="2">
        <v>730</v>
      </c>
      <c r="D2689" s="2">
        <v>10810317</v>
      </c>
    </row>
    <row r="2690" spans="1:4" s="6" customFormat="1" x14ac:dyDescent="0.25">
      <c r="B2690" s="6" t="str">
        <f>T("   Total Monde")</f>
        <v xml:space="preserve">   Total Monde</v>
      </c>
      <c r="C2690" s="1">
        <v>1015</v>
      </c>
      <c r="D2690" s="1">
        <v>129372064</v>
      </c>
    </row>
    <row r="2691" spans="1:4" s="6" customFormat="1" x14ac:dyDescent="0.25">
      <c r="A2691" s="6" t="str">
        <f>T("903210")</f>
        <v>903210</v>
      </c>
      <c r="B2691" s="6" t="str">
        <f>T("THERMOSTATS")</f>
        <v>THERMOSTATS</v>
      </c>
      <c r="C2691" s="1"/>
      <c r="D2691" s="1"/>
    </row>
    <row r="2692" spans="1:4" x14ac:dyDescent="0.25">
      <c r="B2692" t="str">
        <f>T("   Gabon")</f>
        <v xml:space="preserve">   Gabon</v>
      </c>
      <c r="C2692" s="2">
        <v>63</v>
      </c>
      <c r="D2692" s="2">
        <v>943513</v>
      </c>
    </row>
    <row r="2693" spans="1:4" s="6" customFormat="1" x14ac:dyDescent="0.25">
      <c r="B2693" s="6" t="str">
        <f>T("   Total Monde")</f>
        <v xml:space="preserve">   Total Monde</v>
      </c>
      <c r="C2693" s="1">
        <v>63</v>
      </c>
      <c r="D2693" s="1">
        <v>943513</v>
      </c>
    </row>
    <row r="2694" spans="1:4" s="6" customFormat="1" x14ac:dyDescent="0.25">
      <c r="A2694" s="6" t="str">
        <f>T("903220")</f>
        <v>903220</v>
      </c>
      <c r="B2694" s="6" t="str">
        <f>T("MANOSTATS (PRESSOSTATS)")</f>
        <v>MANOSTATS (PRESSOSTATS)</v>
      </c>
      <c r="C2694" s="1"/>
      <c r="D2694" s="1"/>
    </row>
    <row r="2695" spans="1:4" x14ac:dyDescent="0.25">
      <c r="B2695" t="str">
        <f>T("   France")</f>
        <v xml:space="preserve">   France</v>
      </c>
      <c r="C2695" s="2">
        <v>10.199999999999999</v>
      </c>
      <c r="D2695" s="2">
        <v>7215560</v>
      </c>
    </row>
    <row r="2696" spans="1:4" s="6" customFormat="1" x14ac:dyDescent="0.25">
      <c r="B2696" s="6" t="str">
        <f>T("   Total Monde")</f>
        <v xml:space="preserve">   Total Monde</v>
      </c>
      <c r="C2696" s="1">
        <v>10.199999999999999</v>
      </c>
      <c r="D2696" s="1">
        <v>7215560</v>
      </c>
    </row>
    <row r="2697" spans="1:4" s="6" customFormat="1" x14ac:dyDescent="0.25">
      <c r="A2697" s="6" t="str">
        <f>T("903281")</f>
        <v>903281</v>
      </c>
      <c r="B2697" s="6" t="str">
        <f>T("HYDRAULIQUES OU PNEUMATIQUES")</f>
        <v>HYDRAULIQUES OU PNEUMATIQUES</v>
      </c>
      <c r="C2697" s="1"/>
      <c r="D2697" s="1"/>
    </row>
    <row r="2698" spans="1:4" x14ac:dyDescent="0.25">
      <c r="B2698" t="str">
        <f>T("   Malaisie")</f>
        <v xml:space="preserve">   Malaisie</v>
      </c>
      <c r="C2698" s="2">
        <v>840</v>
      </c>
      <c r="D2698" s="2">
        <v>17542947</v>
      </c>
    </row>
    <row r="2699" spans="1:4" s="6" customFormat="1" x14ac:dyDescent="0.25">
      <c r="B2699" s="6" t="str">
        <f>T("   Total Monde")</f>
        <v xml:space="preserve">   Total Monde</v>
      </c>
      <c r="C2699" s="1">
        <v>840</v>
      </c>
      <c r="D2699" s="1">
        <v>17542947</v>
      </c>
    </row>
    <row r="2700" spans="1:4" s="6" customFormat="1" x14ac:dyDescent="0.25">
      <c r="A2700" s="6" t="str">
        <f>T("903289")</f>
        <v>903289</v>
      </c>
      <c r="B2700" s="6" t="str">
        <f>T("AUTRES")</f>
        <v>AUTRES</v>
      </c>
      <c r="C2700" s="1"/>
      <c r="D2700" s="1"/>
    </row>
    <row r="2701" spans="1:4" x14ac:dyDescent="0.25">
      <c r="B2701" t="str">
        <f>T("   France")</f>
        <v xml:space="preserve">   France</v>
      </c>
      <c r="C2701" s="2">
        <v>3</v>
      </c>
      <c r="D2701" s="2">
        <v>3083012</v>
      </c>
    </row>
    <row r="2702" spans="1:4" x14ac:dyDescent="0.25">
      <c r="B2702" t="str">
        <f>T("   Ghana")</f>
        <v xml:space="preserve">   Ghana</v>
      </c>
      <c r="C2702" s="2">
        <v>70</v>
      </c>
      <c r="D2702" s="2">
        <v>4481562</v>
      </c>
    </row>
    <row r="2703" spans="1:4" x14ac:dyDescent="0.25">
      <c r="B2703" t="str">
        <f>T("   Pays-bas")</f>
        <v xml:space="preserve">   Pays-bas</v>
      </c>
      <c r="C2703" s="2">
        <v>16</v>
      </c>
      <c r="D2703" s="2">
        <v>23055042</v>
      </c>
    </row>
    <row r="2704" spans="1:4" s="6" customFormat="1" x14ac:dyDescent="0.25">
      <c r="B2704" s="6" t="str">
        <f>T("   Total Monde")</f>
        <v xml:space="preserve">   Total Monde</v>
      </c>
      <c r="C2704" s="1">
        <v>89</v>
      </c>
      <c r="D2704" s="1">
        <v>30619616</v>
      </c>
    </row>
    <row r="2705" spans="1:4" s="6" customFormat="1" x14ac:dyDescent="0.25">
      <c r="A2705" s="6" t="str">
        <f>T("903300")</f>
        <v>903300</v>
      </c>
      <c r="B2705" s="6" t="str">
        <f>T("PARTIES ET ACCESSOIRES NON DENOMMES NI COMPRIS AILLEURS DANS LE PRESENT CHAPITRE, POUR")</f>
        <v>PARTIES ET ACCESSOIRES NON DENOMMES NI COMPRIS AILLEURS DANS LE PRESENT CHAPITRE, POUR</v>
      </c>
      <c r="C2705" s="1"/>
      <c r="D2705" s="1"/>
    </row>
    <row r="2706" spans="1:4" x14ac:dyDescent="0.25">
      <c r="B2706" t="str">
        <f>T("   Gabon")</f>
        <v xml:space="preserve">   Gabon</v>
      </c>
      <c r="C2706" s="2">
        <v>72</v>
      </c>
      <c r="D2706" s="2">
        <v>3293050</v>
      </c>
    </row>
    <row r="2707" spans="1:4" s="6" customFormat="1" x14ac:dyDescent="0.25">
      <c r="B2707" s="6" t="str">
        <f>T("   Total Monde")</f>
        <v xml:space="preserve">   Total Monde</v>
      </c>
      <c r="C2707" s="1">
        <v>72</v>
      </c>
      <c r="D2707" s="1">
        <v>3293050</v>
      </c>
    </row>
    <row r="2708" spans="1:4" s="6" customFormat="1" x14ac:dyDescent="0.25">
      <c r="A2708" s="6" t="str">
        <f>T("930190")</f>
        <v>930190</v>
      </c>
      <c r="B2708" s="6" t="str">
        <f>T("AUTRES")</f>
        <v>AUTRES</v>
      </c>
      <c r="C2708" s="1"/>
      <c r="D2708" s="1"/>
    </row>
    <row r="2709" spans="1:4" x14ac:dyDescent="0.25">
      <c r="B2709" t="str">
        <f>T("   Koweit")</f>
        <v xml:space="preserve">   Koweit</v>
      </c>
      <c r="C2709" s="2">
        <v>14</v>
      </c>
      <c r="D2709" s="2">
        <v>1650000</v>
      </c>
    </row>
    <row r="2710" spans="1:4" s="6" customFormat="1" x14ac:dyDescent="0.25">
      <c r="B2710" s="6" t="str">
        <f>T("   Total Monde")</f>
        <v xml:space="preserve">   Total Monde</v>
      </c>
      <c r="C2710" s="1">
        <v>14</v>
      </c>
      <c r="D2710" s="1">
        <v>1650000</v>
      </c>
    </row>
    <row r="2711" spans="1:4" s="6" customFormat="1" x14ac:dyDescent="0.25">
      <c r="A2711" s="6" t="str">
        <f>T("930690")</f>
        <v>930690</v>
      </c>
      <c r="B2711" s="6" t="str">
        <f>T("AUTRES")</f>
        <v>AUTRES</v>
      </c>
      <c r="C2711" s="1"/>
      <c r="D2711" s="1"/>
    </row>
    <row r="2712" spans="1:4" x14ac:dyDescent="0.25">
      <c r="B2712" t="str">
        <f>T("   Gabon")</f>
        <v xml:space="preserve">   Gabon</v>
      </c>
      <c r="C2712" s="2">
        <v>1813</v>
      </c>
      <c r="D2712" s="2">
        <v>23147185</v>
      </c>
    </row>
    <row r="2713" spans="1:4" s="6" customFormat="1" x14ac:dyDescent="0.25">
      <c r="B2713" s="6" t="str">
        <f>T("   Total Monde")</f>
        <v xml:space="preserve">   Total Monde</v>
      </c>
      <c r="C2713" s="1">
        <v>1813</v>
      </c>
      <c r="D2713" s="1">
        <v>23147185</v>
      </c>
    </row>
    <row r="2714" spans="1:4" s="6" customFormat="1" x14ac:dyDescent="0.25">
      <c r="A2714" s="6" t="str">
        <f>T("940161")</f>
        <v>940161</v>
      </c>
      <c r="B2714" s="6" t="str">
        <f>T("REMBOURRES")</f>
        <v>REMBOURRES</v>
      </c>
      <c r="C2714" s="1"/>
      <c r="D2714" s="1"/>
    </row>
    <row r="2715" spans="1:4" x14ac:dyDescent="0.25">
      <c r="B2715" t="str">
        <f>T("   Sénégal")</f>
        <v xml:space="preserve">   Sénégal</v>
      </c>
      <c r="C2715" s="2">
        <v>105</v>
      </c>
      <c r="D2715" s="2">
        <v>150000</v>
      </c>
    </row>
    <row r="2716" spans="1:4" s="6" customFormat="1" x14ac:dyDescent="0.25">
      <c r="B2716" s="6" t="str">
        <f>T("   Total Monde")</f>
        <v xml:space="preserve">   Total Monde</v>
      </c>
      <c r="C2716" s="1">
        <v>105</v>
      </c>
      <c r="D2716" s="1">
        <v>150000</v>
      </c>
    </row>
    <row r="2717" spans="1:4" s="6" customFormat="1" x14ac:dyDescent="0.25">
      <c r="A2717" s="6" t="str">
        <f>T("940180")</f>
        <v>940180</v>
      </c>
      <c r="B2717" s="6" t="str">
        <f>T("AUTRES SIEGES")</f>
        <v>AUTRES SIEGES</v>
      </c>
      <c r="C2717" s="1"/>
      <c r="D2717" s="1"/>
    </row>
    <row r="2718" spans="1:4" x14ac:dyDescent="0.25">
      <c r="B2718" t="str">
        <f>T("   Congo (Brazzaville)")</f>
        <v xml:space="preserve">   Congo (Brazzaville)</v>
      </c>
      <c r="C2718" s="2">
        <v>200</v>
      </c>
      <c r="D2718" s="2">
        <v>655000</v>
      </c>
    </row>
    <row r="2719" spans="1:4" s="6" customFormat="1" x14ac:dyDescent="0.25">
      <c r="B2719" s="6" t="str">
        <f>T("   Total Monde")</f>
        <v xml:space="preserve">   Total Monde</v>
      </c>
      <c r="C2719" s="1">
        <v>200</v>
      </c>
      <c r="D2719" s="1">
        <v>655000</v>
      </c>
    </row>
    <row r="2720" spans="1:4" s="6" customFormat="1" x14ac:dyDescent="0.25">
      <c r="A2720" s="6" t="str">
        <f>T("940290")</f>
        <v>940290</v>
      </c>
      <c r="B2720" s="6" t="str">
        <f>T("AUTRES")</f>
        <v>AUTRES</v>
      </c>
      <c r="C2720" s="1"/>
      <c r="D2720" s="1"/>
    </row>
    <row r="2721" spans="1:4" x14ac:dyDescent="0.25">
      <c r="B2721" t="str">
        <f>T("   Niger")</f>
        <v xml:space="preserve">   Niger</v>
      </c>
      <c r="C2721" s="2">
        <v>20000</v>
      </c>
      <c r="D2721" s="2">
        <v>6000000</v>
      </c>
    </row>
    <row r="2722" spans="1:4" s="6" customFormat="1" x14ac:dyDescent="0.25">
      <c r="B2722" s="6" t="str">
        <f>T("   Total Monde")</f>
        <v xml:space="preserve">   Total Monde</v>
      </c>
      <c r="C2722" s="1">
        <v>20000</v>
      </c>
      <c r="D2722" s="1">
        <v>6000000</v>
      </c>
    </row>
    <row r="2723" spans="1:4" s="6" customFormat="1" x14ac:dyDescent="0.25">
      <c r="A2723" s="6" t="str">
        <f>T("940310")</f>
        <v>940310</v>
      </c>
      <c r="B2723" s="6" t="str">
        <f>T("MEUBLES EN METAL DES TYPES UTILISES DANS LES BUREAUX")</f>
        <v>MEUBLES EN METAL DES TYPES UTILISES DANS LES BUREAUX</v>
      </c>
      <c r="C2723" s="1"/>
      <c r="D2723" s="1"/>
    </row>
    <row r="2724" spans="1:4" x14ac:dyDescent="0.25">
      <c r="B2724" t="str">
        <f>T("   Togo")</f>
        <v xml:space="preserve">   Togo</v>
      </c>
      <c r="C2724" s="2">
        <v>2000</v>
      </c>
      <c r="D2724" s="2">
        <v>8092000</v>
      </c>
    </row>
    <row r="2725" spans="1:4" s="6" customFormat="1" x14ac:dyDescent="0.25">
      <c r="B2725" s="6" t="str">
        <f>T("   Total Monde")</f>
        <v xml:space="preserve">   Total Monde</v>
      </c>
      <c r="C2725" s="1">
        <v>2000</v>
      </c>
      <c r="D2725" s="1">
        <v>8092000</v>
      </c>
    </row>
    <row r="2726" spans="1:4" s="6" customFormat="1" x14ac:dyDescent="0.25">
      <c r="A2726" s="6" t="str">
        <f>T("940350")</f>
        <v>940350</v>
      </c>
      <c r="B2726" s="6" t="str">
        <f>T("MEUBLES EN BOIS DES TYPES UTILISES DANS LES CHAMBRES A COUCHER")</f>
        <v>MEUBLES EN BOIS DES TYPES UTILISES DANS LES CHAMBRES A COUCHER</v>
      </c>
      <c r="C2726" s="1"/>
      <c r="D2726" s="1"/>
    </row>
    <row r="2727" spans="1:4" x14ac:dyDescent="0.25">
      <c r="B2727" t="str">
        <f>T("   Bosnie Herzégovine")</f>
        <v xml:space="preserve">   Bosnie Herzégovine</v>
      </c>
      <c r="C2727" s="2">
        <v>2500</v>
      </c>
      <c r="D2727" s="2">
        <v>1800000</v>
      </c>
    </row>
    <row r="2728" spans="1:4" x14ac:dyDescent="0.25">
      <c r="B2728" t="str">
        <f>T("   Belgique")</f>
        <v xml:space="preserve">   Belgique</v>
      </c>
      <c r="C2728" s="2">
        <v>9100</v>
      </c>
      <c r="D2728" s="2">
        <v>8250000</v>
      </c>
    </row>
    <row r="2729" spans="1:4" x14ac:dyDescent="0.25">
      <c r="B2729" t="str">
        <f>T("   Burkina Faso")</f>
        <v xml:space="preserve">   Burkina Faso</v>
      </c>
      <c r="C2729" s="2">
        <v>3000</v>
      </c>
      <c r="D2729" s="2">
        <v>2400000</v>
      </c>
    </row>
    <row r="2730" spans="1:4" x14ac:dyDescent="0.25">
      <c r="B2730" t="str">
        <f>T("   Canada")</f>
        <v xml:space="preserve">   Canada</v>
      </c>
      <c r="C2730" s="2">
        <v>1500</v>
      </c>
      <c r="D2730" s="2">
        <v>2500000</v>
      </c>
    </row>
    <row r="2731" spans="1:4" x14ac:dyDescent="0.25">
      <c r="B2731" t="str">
        <f>T("   Congo, République Démocratique")</f>
        <v xml:space="preserve">   Congo, République Démocratique</v>
      </c>
      <c r="C2731" s="2">
        <v>2700</v>
      </c>
      <c r="D2731" s="2">
        <v>2000000</v>
      </c>
    </row>
    <row r="2732" spans="1:4" x14ac:dyDescent="0.25">
      <c r="B2732" t="str">
        <f>T("   Congo (Brazzaville)")</f>
        <v xml:space="preserve">   Congo (Brazzaville)</v>
      </c>
      <c r="C2732" s="2">
        <v>12000</v>
      </c>
      <c r="D2732" s="2">
        <v>2800000</v>
      </c>
    </row>
    <row r="2733" spans="1:4" x14ac:dyDescent="0.25">
      <c r="B2733" t="str">
        <f>T("   Côte d'Ivoire")</f>
        <v xml:space="preserve">   Côte d'Ivoire</v>
      </c>
      <c r="C2733" s="2">
        <v>950</v>
      </c>
      <c r="D2733" s="2">
        <v>1200000</v>
      </c>
    </row>
    <row r="2734" spans="1:4" x14ac:dyDescent="0.25">
      <c r="B2734" t="str">
        <f>T("   Cameroun")</f>
        <v xml:space="preserve">   Cameroun</v>
      </c>
      <c r="C2734" s="2">
        <v>16500</v>
      </c>
      <c r="D2734" s="2">
        <v>42490995</v>
      </c>
    </row>
    <row r="2735" spans="1:4" x14ac:dyDescent="0.25">
      <c r="B2735" t="str">
        <f>T("   Tchécoslovaquie")</f>
        <v xml:space="preserve">   Tchécoslovaquie</v>
      </c>
      <c r="C2735" s="2">
        <v>1300</v>
      </c>
      <c r="D2735" s="2">
        <v>1500000</v>
      </c>
    </row>
    <row r="2736" spans="1:4" x14ac:dyDescent="0.25">
      <c r="B2736" t="str">
        <f>T("   Allemagne")</f>
        <v xml:space="preserve">   Allemagne</v>
      </c>
      <c r="C2736" s="2">
        <v>5300</v>
      </c>
      <c r="D2736" s="2">
        <v>3350000</v>
      </c>
    </row>
    <row r="2737" spans="2:4" x14ac:dyDescent="0.25">
      <c r="B2737" t="str">
        <f>T("   Danemark")</f>
        <v xml:space="preserve">   Danemark</v>
      </c>
      <c r="C2737" s="2">
        <v>2400</v>
      </c>
      <c r="D2737" s="2">
        <v>2500000</v>
      </c>
    </row>
    <row r="2738" spans="2:4" x14ac:dyDescent="0.25">
      <c r="B2738" t="str">
        <f>T("   France")</f>
        <v xml:space="preserve">   France</v>
      </c>
      <c r="C2738" s="2">
        <v>17924</v>
      </c>
      <c r="D2738" s="2">
        <v>15920000</v>
      </c>
    </row>
    <row r="2739" spans="2:4" x14ac:dyDescent="0.25">
      <c r="B2739" t="str">
        <f>T("   Ghana")</f>
        <v xml:space="preserve">   Ghana</v>
      </c>
      <c r="C2739" s="2">
        <v>5780</v>
      </c>
      <c r="D2739" s="2">
        <v>4300000</v>
      </c>
    </row>
    <row r="2740" spans="2:4" x14ac:dyDescent="0.25">
      <c r="B2740" t="str">
        <f>T("   Inde")</f>
        <v xml:space="preserve">   Inde</v>
      </c>
      <c r="C2740" s="2">
        <v>1336</v>
      </c>
      <c r="D2740" s="2">
        <v>1200000</v>
      </c>
    </row>
    <row r="2741" spans="2:4" x14ac:dyDescent="0.25">
      <c r="B2741" t="str">
        <f>T("   Italie")</f>
        <v xml:space="preserve">   Italie</v>
      </c>
      <c r="C2741" s="2">
        <v>3000</v>
      </c>
      <c r="D2741" s="2">
        <v>1880000</v>
      </c>
    </row>
    <row r="2742" spans="2:4" x14ac:dyDescent="0.25">
      <c r="B2742" t="str">
        <f>T("   Jordanie")</f>
        <v xml:space="preserve">   Jordanie</v>
      </c>
      <c r="C2742" s="2">
        <v>600</v>
      </c>
      <c r="D2742" s="2">
        <v>1478000</v>
      </c>
    </row>
    <row r="2743" spans="2:4" x14ac:dyDescent="0.25">
      <c r="B2743" t="str">
        <f>T("   Japon")</f>
        <v xml:space="preserve">   Japon</v>
      </c>
      <c r="C2743" s="2">
        <v>2500</v>
      </c>
      <c r="D2743" s="2">
        <v>1000000</v>
      </c>
    </row>
    <row r="2744" spans="2:4" x14ac:dyDescent="0.25">
      <c r="B2744" t="str">
        <f>T("   Kenya")</f>
        <v xml:space="preserve">   Kenya</v>
      </c>
      <c r="C2744" s="2">
        <v>2500</v>
      </c>
      <c r="D2744" s="2">
        <v>2300000</v>
      </c>
    </row>
    <row r="2745" spans="2:4" x14ac:dyDescent="0.25">
      <c r="B2745" t="str">
        <f>T("   Liban")</f>
        <v xml:space="preserve">   Liban</v>
      </c>
      <c r="C2745" s="2">
        <v>1200</v>
      </c>
      <c r="D2745" s="2">
        <v>1300000</v>
      </c>
    </row>
    <row r="2746" spans="2:4" x14ac:dyDescent="0.25">
      <c r="B2746" t="str">
        <f>T("   Sri Lanka")</f>
        <v xml:space="preserve">   Sri Lanka</v>
      </c>
      <c r="C2746" s="2">
        <v>1500</v>
      </c>
      <c r="D2746" s="2">
        <v>1480000</v>
      </c>
    </row>
    <row r="2747" spans="2:4" x14ac:dyDescent="0.25">
      <c r="B2747" t="str">
        <f>T("   Madagascar")</f>
        <v xml:space="preserve">   Madagascar</v>
      </c>
      <c r="C2747" s="2">
        <v>1900</v>
      </c>
      <c r="D2747" s="2">
        <v>1830000</v>
      </c>
    </row>
    <row r="2748" spans="2:4" x14ac:dyDescent="0.25">
      <c r="B2748" t="str">
        <f>T("   Nigéria")</f>
        <v xml:space="preserve">   Nigéria</v>
      </c>
      <c r="C2748" s="2">
        <v>2500</v>
      </c>
      <c r="D2748" s="2">
        <v>1500000</v>
      </c>
    </row>
    <row r="2749" spans="2:4" x14ac:dyDescent="0.25">
      <c r="B2749" t="str">
        <f>T("   Pays-bas")</f>
        <v xml:space="preserve">   Pays-bas</v>
      </c>
      <c r="C2749" s="2">
        <v>1400</v>
      </c>
      <c r="D2749" s="2">
        <v>1000000</v>
      </c>
    </row>
    <row r="2750" spans="2:4" x14ac:dyDescent="0.25">
      <c r="B2750" t="str">
        <f>T("   Sénégal")</f>
        <v xml:space="preserve">   Sénégal</v>
      </c>
      <c r="C2750" s="2">
        <v>11635</v>
      </c>
      <c r="D2750" s="2">
        <v>8225000</v>
      </c>
    </row>
    <row r="2751" spans="2:4" x14ac:dyDescent="0.25">
      <c r="B2751" t="str">
        <f>T("   Togo")</f>
        <v xml:space="preserve">   Togo</v>
      </c>
      <c r="C2751" s="2">
        <v>3571</v>
      </c>
      <c r="D2751" s="2">
        <v>3100000</v>
      </c>
    </row>
    <row r="2752" spans="2:4" x14ac:dyDescent="0.25">
      <c r="B2752" t="str">
        <f>T("   Thaïlande")</f>
        <v xml:space="preserve">   Thaïlande</v>
      </c>
      <c r="C2752" s="2">
        <v>3000</v>
      </c>
      <c r="D2752" s="2">
        <v>1700000</v>
      </c>
    </row>
    <row r="2753" spans="1:4" x14ac:dyDescent="0.25">
      <c r="B2753" t="str">
        <f>T("   Tunisie")</f>
        <v xml:space="preserve">   Tunisie</v>
      </c>
      <c r="C2753" s="2">
        <v>1700</v>
      </c>
      <c r="D2753" s="2">
        <v>2500000</v>
      </c>
    </row>
    <row r="2754" spans="1:4" x14ac:dyDescent="0.25">
      <c r="B2754" t="str">
        <f>T("   Etats-Unis")</f>
        <v xml:space="preserve">   Etats-Unis</v>
      </c>
      <c r="C2754" s="2">
        <v>7750</v>
      </c>
      <c r="D2754" s="2">
        <v>28062183</v>
      </c>
    </row>
    <row r="2755" spans="1:4" x14ac:dyDescent="0.25">
      <c r="B2755" t="str">
        <f>T("   Vietnam")</f>
        <v xml:space="preserve">   Vietnam</v>
      </c>
      <c r="C2755" s="2">
        <v>1200</v>
      </c>
      <c r="D2755" s="2">
        <v>800000</v>
      </c>
    </row>
    <row r="2756" spans="1:4" x14ac:dyDescent="0.25">
      <c r="B2756" t="str">
        <f>T("   Afrique du Sud")</f>
        <v xml:space="preserve">   Afrique du Sud</v>
      </c>
      <c r="C2756" s="2">
        <v>5725</v>
      </c>
      <c r="D2756" s="2">
        <v>5705000</v>
      </c>
    </row>
    <row r="2757" spans="1:4" x14ac:dyDescent="0.25">
      <c r="B2757" t="str">
        <f>T("   Zambie")</f>
        <v xml:space="preserve">   Zambie</v>
      </c>
      <c r="C2757" s="2">
        <v>1300</v>
      </c>
      <c r="D2757" s="2">
        <v>1516000</v>
      </c>
    </row>
    <row r="2758" spans="1:4" s="6" customFormat="1" x14ac:dyDescent="0.25">
      <c r="B2758" s="6" t="str">
        <f>T("   Total Monde")</f>
        <v xml:space="preserve">   Total Monde</v>
      </c>
      <c r="C2758" s="1">
        <v>135271</v>
      </c>
      <c r="D2758" s="1">
        <v>157587178</v>
      </c>
    </row>
    <row r="2759" spans="1:4" s="6" customFormat="1" x14ac:dyDescent="0.25">
      <c r="A2759" s="6" t="str">
        <f>T("940360")</f>
        <v>940360</v>
      </c>
      <c r="B2759" s="6" t="str">
        <f>T("Autres meubles en bois")</f>
        <v>Autres meubles en bois</v>
      </c>
      <c r="C2759" s="1"/>
      <c r="D2759" s="1"/>
    </row>
    <row r="2760" spans="1:4" x14ac:dyDescent="0.25">
      <c r="B2760" t="str">
        <f>T("   Belgique")</f>
        <v xml:space="preserve">   Belgique</v>
      </c>
      <c r="C2760" s="2">
        <v>1826</v>
      </c>
      <c r="D2760" s="2">
        <v>3020000</v>
      </c>
    </row>
    <row r="2761" spans="1:4" x14ac:dyDescent="0.25">
      <c r="B2761" t="str">
        <f>T("   Congo, République Démocratique")</f>
        <v xml:space="preserve">   Congo, République Démocratique</v>
      </c>
      <c r="C2761" s="2">
        <v>1287</v>
      </c>
      <c r="D2761" s="2">
        <v>2000000</v>
      </c>
    </row>
    <row r="2762" spans="1:4" x14ac:dyDescent="0.25">
      <c r="B2762" t="str">
        <f>T("   Congo (Brazzaville)")</f>
        <v xml:space="preserve">   Congo (Brazzaville)</v>
      </c>
      <c r="C2762" s="2">
        <v>2000</v>
      </c>
      <c r="D2762" s="2">
        <v>2000000</v>
      </c>
    </row>
    <row r="2763" spans="1:4" x14ac:dyDescent="0.25">
      <c r="B2763" t="str">
        <f>T("   Côte d'Ivoire")</f>
        <v xml:space="preserve">   Côte d'Ivoire</v>
      </c>
      <c r="C2763" s="2">
        <v>3300</v>
      </c>
      <c r="D2763" s="2">
        <v>800000</v>
      </c>
    </row>
    <row r="2764" spans="1:4" x14ac:dyDescent="0.25">
      <c r="B2764" t="str">
        <f>T("   Cameroun")</f>
        <v xml:space="preserve">   Cameroun</v>
      </c>
      <c r="C2764" s="2">
        <v>2460</v>
      </c>
      <c r="D2764" s="2">
        <v>11670000</v>
      </c>
    </row>
    <row r="2765" spans="1:4" x14ac:dyDescent="0.25">
      <c r="B2765" t="str">
        <f>T("   Allemagne")</f>
        <v xml:space="preserve">   Allemagne</v>
      </c>
      <c r="C2765" s="2">
        <v>3048</v>
      </c>
      <c r="D2765" s="2">
        <v>1912000</v>
      </c>
    </row>
    <row r="2766" spans="1:4" x14ac:dyDescent="0.25">
      <c r="B2766" t="str">
        <f>T("   France")</f>
        <v xml:space="preserve">   France</v>
      </c>
      <c r="C2766" s="2">
        <v>2120</v>
      </c>
      <c r="D2766" s="2">
        <v>4419000</v>
      </c>
    </row>
    <row r="2767" spans="1:4" x14ac:dyDescent="0.25">
      <c r="B2767" t="str">
        <f>T("   Guinée")</f>
        <v xml:space="preserve">   Guinée</v>
      </c>
      <c r="C2767" s="2">
        <v>1903</v>
      </c>
      <c r="D2767" s="2">
        <v>3000000</v>
      </c>
    </row>
    <row r="2768" spans="1:4" x14ac:dyDescent="0.25">
      <c r="B2768" t="str">
        <f>T("   Liban")</f>
        <v xml:space="preserve">   Liban</v>
      </c>
      <c r="C2768" s="2">
        <v>2420</v>
      </c>
      <c r="D2768" s="2">
        <v>2500000</v>
      </c>
    </row>
    <row r="2769" spans="1:4" x14ac:dyDescent="0.25">
      <c r="B2769" t="str">
        <f>T("   Moldova, République de")</f>
        <v xml:space="preserve">   Moldova, République de</v>
      </c>
      <c r="C2769" s="2">
        <v>540</v>
      </c>
      <c r="D2769" s="2">
        <v>200000</v>
      </c>
    </row>
    <row r="2770" spans="1:4" x14ac:dyDescent="0.25">
      <c r="B2770" t="str">
        <f>T("   Mali")</f>
        <v xml:space="preserve">   Mali</v>
      </c>
      <c r="C2770" s="2">
        <v>3000</v>
      </c>
      <c r="D2770" s="2">
        <v>2000000</v>
      </c>
    </row>
    <row r="2771" spans="1:4" x14ac:dyDescent="0.25">
      <c r="B2771" t="str">
        <f>T("   Niger")</f>
        <v xml:space="preserve">   Niger</v>
      </c>
      <c r="C2771" s="2">
        <v>1500</v>
      </c>
      <c r="D2771" s="2">
        <v>3000000</v>
      </c>
    </row>
    <row r="2772" spans="1:4" x14ac:dyDescent="0.25">
      <c r="B2772" t="str">
        <f>T("   Portugal")</f>
        <v xml:space="preserve">   Portugal</v>
      </c>
      <c r="C2772" s="2">
        <v>1500</v>
      </c>
      <c r="D2772" s="2">
        <v>1200000</v>
      </c>
    </row>
    <row r="2773" spans="1:4" x14ac:dyDescent="0.25">
      <c r="B2773" t="str">
        <f>T("   Sénégal")</f>
        <v xml:space="preserve">   Sénégal</v>
      </c>
      <c r="C2773" s="2">
        <v>3110</v>
      </c>
      <c r="D2773" s="2">
        <v>2380000</v>
      </c>
    </row>
    <row r="2774" spans="1:4" x14ac:dyDescent="0.25">
      <c r="B2774" t="str">
        <f>T("   Togo")</f>
        <v xml:space="preserve">   Togo</v>
      </c>
      <c r="C2774" s="2">
        <v>35800</v>
      </c>
      <c r="D2774" s="2">
        <v>6800000</v>
      </c>
    </row>
    <row r="2775" spans="1:4" x14ac:dyDescent="0.25">
      <c r="B2775" t="str">
        <f>T("   Etats-Unis")</f>
        <v xml:space="preserve">   Etats-Unis</v>
      </c>
      <c r="C2775" s="2">
        <v>16782</v>
      </c>
      <c r="D2775" s="2">
        <v>53000000</v>
      </c>
    </row>
    <row r="2776" spans="1:4" s="6" customFormat="1" x14ac:dyDescent="0.25">
      <c r="B2776" s="6" t="str">
        <f>T("   Total Monde")</f>
        <v xml:space="preserve">   Total Monde</v>
      </c>
      <c r="C2776" s="1">
        <v>82596</v>
      </c>
      <c r="D2776" s="1">
        <v>99901000</v>
      </c>
    </row>
    <row r="2777" spans="1:4" s="6" customFormat="1" x14ac:dyDescent="0.25">
      <c r="A2777" s="6" t="str">
        <f>T("940370")</f>
        <v>940370</v>
      </c>
      <c r="B2777" s="6" t="str">
        <f>T("MEUBLES EN MATIERES PLASTIQUES")</f>
        <v>MEUBLES EN MATIERES PLASTIQUES</v>
      </c>
      <c r="C2777" s="1"/>
      <c r="D2777" s="1"/>
    </row>
    <row r="2778" spans="1:4" x14ac:dyDescent="0.25">
      <c r="B2778" t="str">
        <f>T("   Togo")</f>
        <v xml:space="preserve">   Togo</v>
      </c>
      <c r="C2778" s="2">
        <v>56368</v>
      </c>
      <c r="D2778" s="2">
        <v>78803250</v>
      </c>
    </row>
    <row r="2779" spans="1:4" s="6" customFormat="1" x14ac:dyDescent="0.25">
      <c r="B2779" s="6" t="str">
        <f>T("   Total Monde")</f>
        <v xml:space="preserve">   Total Monde</v>
      </c>
      <c r="C2779" s="1">
        <v>56368</v>
      </c>
      <c r="D2779" s="1">
        <v>78803250</v>
      </c>
    </row>
    <row r="2780" spans="1:4" s="6" customFormat="1" x14ac:dyDescent="0.25">
      <c r="A2780" s="6" t="str">
        <f>T("940389")</f>
        <v>940389</v>
      </c>
      <c r="B2780" s="6" t="str">
        <f>T("AUTRES")</f>
        <v>AUTRES</v>
      </c>
      <c r="C2780" s="1"/>
      <c r="D2780" s="1"/>
    </row>
    <row r="2781" spans="1:4" x14ac:dyDescent="0.25">
      <c r="B2781" t="str">
        <f>T("   Congo (Brazzaville)")</f>
        <v xml:space="preserve">   Congo (Brazzaville)</v>
      </c>
      <c r="C2781" s="2">
        <v>17230</v>
      </c>
      <c r="D2781" s="2">
        <v>1000000</v>
      </c>
    </row>
    <row r="2782" spans="1:4" x14ac:dyDescent="0.25">
      <c r="B2782" t="str">
        <f>T("   Allemagne")</f>
        <v xml:space="preserve">   Allemagne</v>
      </c>
      <c r="C2782" s="2">
        <v>10000</v>
      </c>
      <c r="D2782" s="2">
        <v>500000</v>
      </c>
    </row>
    <row r="2783" spans="1:4" x14ac:dyDescent="0.25">
      <c r="B2783" t="str">
        <f>T("   Espagne")</f>
        <v xml:space="preserve">   Espagne</v>
      </c>
      <c r="C2783" s="2">
        <v>10000</v>
      </c>
      <c r="D2783" s="2">
        <v>500000</v>
      </c>
    </row>
    <row r="2784" spans="1:4" x14ac:dyDescent="0.25">
      <c r="B2784" t="str">
        <f>T("   France")</f>
        <v xml:space="preserve">   France</v>
      </c>
      <c r="C2784" s="2">
        <v>10000</v>
      </c>
      <c r="D2784" s="2">
        <v>500000</v>
      </c>
    </row>
    <row r="2785" spans="1:4" x14ac:dyDescent="0.25">
      <c r="B2785" t="str">
        <f>T("   Mali")</f>
        <v xml:space="preserve">   Mali</v>
      </c>
      <c r="C2785" s="2">
        <v>10000</v>
      </c>
      <c r="D2785" s="2">
        <v>500000</v>
      </c>
    </row>
    <row r="2786" spans="1:4" x14ac:dyDescent="0.25">
      <c r="B2786" t="str">
        <f>T("   Mozambique")</f>
        <v xml:space="preserve">   Mozambique</v>
      </c>
      <c r="C2786" s="2">
        <v>10000</v>
      </c>
      <c r="D2786" s="2">
        <v>500000</v>
      </c>
    </row>
    <row r="2787" spans="1:4" x14ac:dyDescent="0.25">
      <c r="B2787" t="str">
        <f>T("   Sénégal")</f>
        <v xml:space="preserve">   Sénégal</v>
      </c>
      <c r="C2787" s="2">
        <v>10000</v>
      </c>
      <c r="D2787" s="2">
        <v>500000</v>
      </c>
    </row>
    <row r="2788" spans="1:4" x14ac:dyDescent="0.25">
      <c r="B2788" t="str">
        <f>T("   Etats-Unis")</f>
        <v xml:space="preserve">   Etats-Unis</v>
      </c>
      <c r="C2788" s="2">
        <v>13000</v>
      </c>
      <c r="D2788" s="2">
        <v>68500000</v>
      </c>
    </row>
    <row r="2789" spans="1:4" s="6" customFormat="1" x14ac:dyDescent="0.25">
      <c r="B2789" s="6" t="str">
        <f>T("   Total Monde")</f>
        <v xml:space="preserve">   Total Monde</v>
      </c>
      <c r="C2789" s="1">
        <v>90230</v>
      </c>
      <c r="D2789" s="1">
        <v>72500000</v>
      </c>
    </row>
    <row r="2790" spans="1:4" s="6" customFormat="1" x14ac:dyDescent="0.25">
      <c r="A2790" s="6" t="str">
        <f>T("940390")</f>
        <v>940390</v>
      </c>
      <c r="B2790" s="6" t="str">
        <f>T("PARTIES")</f>
        <v>PARTIES</v>
      </c>
      <c r="C2790" s="1"/>
      <c r="D2790" s="1"/>
    </row>
    <row r="2791" spans="1:4" x14ac:dyDescent="0.25">
      <c r="B2791" t="str">
        <f>T("   France")</f>
        <v xml:space="preserve">   France</v>
      </c>
      <c r="C2791" s="2">
        <v>13180</v>
      </c>
      <c r="D2791" s="2">
        <v>3896402</v>
      </c>
    </row>
    <row r="2792" spans="1:4" x14ac:dyDescent="0.25">
      <c r="B2792" t="str">
        <f>T("   Sénégal")</f>
        <v xml:space="preserve">   Sénégal</v>
      </c>
      <c r="C2792" s="2">
        <v>2000</v>
      </c>
      <c r="D2792" s="2">
        <v>2000000</v>
      </c>
    </row>
    <row r="2793" spans="1:4" s="6" customFormat="1" x14ac:dyDescent="0.25">
      <c r="B2793" s="6" t="str">
        <f>T("   Total Monde")</f>
        <v xml:space="preserve">   Total Monde</v>
      </c>
      <c r="C2793" s="1">
        <v>15180</v>
      </c>
      <c r="D2793" s="1">
        <v>5896402</v>
      </c>
    </row>
    <row r="2794" spans="1:4" s="6" customFormat="1" x14ac:dyDescent="0.25">
      <c r="A2794" s="6" t="str">
        <f>T("940410")</f>
        <v>940410</v>
      </c>
      <c r="B2794" s="6" t="str">
        <f>T("Sommiers")</f>
        <v>Sommiers</v>
      </c>
      <c r="C2794" s="1"/>
      <c r="D2794" s="1"/>
    </row>
    <row r="2795" spans="1:4" x14ac:dyDescent="0.25">
      <c r="B2795" t="str">
        <f>T("   Gabon")</f>
        <v xml:space="preserve">   Gabon</v>
      </c>
      <c r="C2795" s="2">
        <v>643</v>
      </c>
      <c r="D2795" s="2">
        <v>2713836</v>
      </c>
    </row>
    <row r="2796" spans="1:4" x14ac:dyDescent="0.25">
      <c r="B2796" t="str">
        <f>T("   Sénégal")</f>
        <v xml:space="preserve">   Sénégal</v>
      </c>
      <c r="C2796" s="2">
        <v>70</v>
      </c>
      <c r="D2796" s="2">
        <v>40000</v>
      </c>
    </row>
    <row r="2797" spans="1:4" s="6" customFormat="1" x14ac:dyDescent="0.25">
      <c r="B2797" s="6" t="str">
        <f>T("   Total Monde")</f>
        <v xml:space="preserve">   Total Monde</v>
      </c>
      <c r="C2797" s="1">
        <v>713</v>
      </c>
      <c r="D2797" s="1">
        <v>2753836</v>
      </c>
    </row>
    <row r="2798" spans="1:4" s="6" customFormat="1" x14ac:dyDescent="0.25">
      <c r="A2798" s="6" t="str">
        <f>T("940429")</f>
        <v>940429</v>
      </c>
      <c r="B2798" s="6" t="str">
        <f>T("EN AUTRES MATIERES")</f>
        <v>EN AUTRES MATIERES</v>
      </c>
      <c r="C2798" s="1"/>
      <c r="D2798" s="1"/>
    </row>
    <row r="2799" spans="1:4" x14ac:dyDescent="0.25">
      <c r="B2799" t="str">
        <f>T("   Sénégal")</f>
        <v xml:space="preserve">   Sénégal</v>
      </c>
      <c r="C2799" s="2">
        <v>25</v>
      </c>
      <c r="D2799" s="2">
        <v>25000</v>
      </c>
    </row>
    <row r="2800" spans="1:4" s="6" customFormat="1" x14ac:dyDescent="0.25">
      <c r="B2800" s="6" t="str">
        <f>T("   Total Monde")</f>
        <v xml:space="preserve">   Total Monde</v>
      </c>
      <c r="C2800" s="1">
        <v>25</v>
      </c>
      <c r="D2800" s="1">
        <v>25000</v>
      </c>
    </row>
    <row r="2801" spans="1:4" s="6" customFormat="1" x14ac:dyDescent="0.25">
      <c r="A2801" s="6" t="str">
        <f>T("940490")</f>
        <v>940490</v>
      </c>
      <c r="B2801" s="6" t="str">
        <f>T("AUTRES")</f>
        <v>AUTRES</v>
      </c>
      <c r="C2801" s="1"/>
      <c r="D2801" s="1"/>
    </row>
    <row r="2802" spans="1:4" x14ac:dyDescent="0.25">
      <c r="B2802" t="str">
        <f>T("   Togo")</f>
        <v xml:space="preserve">   Togo</v>
      </c>
      <c r="C2802" s="2">
        <v>1920</v>
      </c>
      <c r="D2802" s="2">
        <v>2878738</v>
      </c>
    </row>
    <row r="2803" spans="1:4" s="6" customFormat="1" x14ac:dyDescent="0.25">
      <c r="B2803" s="6" t="str">
        <f>T("   Total Monde")</f>
        <v xml:space="preserve">   Total Monde</v>
      </c>
      <c r="C2803" s="1">
        <v>1920</v>
      </c>
      <c r="D2803" s="1">
        <v>2878738</v>
      </c>
    </row>
    <row r="2804" spans="1:4" s="6" customFormat="1" x14ac:dyDescent="0.25">
      <c r="A2804" s="6" t="str">
        <f>T("940540")</f>
        <v>940540</v>
      </c>
      <c r="B2804" s="6" t="str">
        <f>T("AUTRES APPAREILS D'ECLAIRAGE ELECTRIQUES")</f>
        <v>AUTRES APPAREILS D'ECLAIRAGE ELECTRIQUES</v>
      </c>
      <c r="C2804" s="1"/>
      <c r="D2804" s="1"/>
    </row>
    <row r="2805" spans="1:4" x14ac:dyDescent="0.25">
      <c r="B2805" t="str">
        <f>T("   Congo (Brazzaville)")</f>
        <v xml:space="preserve">   Congo (Brazzaville)</v>
      </c>
      <c r="C2805" s="2">
        <v>57</v>
      </c>
      <c r="D2805" s="2">
        <v>1005587</v>
      </c>
    </row>
    <row r="2806" spans="1:4" s="6" customFormat="1" x14ac:dyDescent="0.25">
      <c r="B2806" s="6" t="str">
        <f>T("   Total Monde")</f>
        <v xml:space="preserve">   Total Monde</v>
      </c>
      <c r="C2806" s="1">
        <v>57</v>
      </c>
      <c r="D2806" s="1">
        <v>1005587</v>
      </c>
    </row>
    <row r="2807" spans="1:4" s="6" customFormat="1" x14ac:dyDescent="0.25">
      <c r="A2807" s="6" t="str">
        <f>T("940560")</f>
        <v>940560</v>
      </c>
      <c r="B2807" s="6" t="str">
        <f>T("LAMPESRECLAMES, ENSEIGNES LUMINEUSES, PLAQUES INDICATRICES LUMINEUSES ET ARTICLES SI")</f>
        <v>LAMPESRECLAMES, ENSEIGNES LUMINEUSES, PLAQUES INDICATRICES LUMINEUSES ET ARTICLES SI</v>
      </c>
      <c r="C2807" s="1"/>
      <c r="D2807" s="1"/>
    </row>
    <row r="2808" spans="1:4" x14ac:dyDescent="0.25">
      <c r="B2808" t="str">
        <f>T("   Niger")</f>
        <v xml:space="preserve">   Niger</v>
      </c>
      <c r="C2808" s="2">
        <v>10</v>
      </c>
      <c r="D2808" s="2">
        <v>10000</v>
      </c>
    </row>
    <row r="2809" spans="1:4" s="6" customFormat="1" x14ac:dyDescent="0.25">
      <c r="B2809" s="6" t="str">
        <f>T("   Total Monde")</f>
        <v xml:space="preserve">   Total Monde</v>
      </c>
      <c r="C2809" s="1">
        <v>10</v>
      </c>
      <c r="D2809" s="1">
        <v>10000</v>
      </c>
    </row>
    <row r="2810" spans="1:4" s="6" customFormat="1" x14ac:dyDescent="0.25">
      <c r="A2810" s="6" t="str">
        <f>T("940591")</f>
        <v>940591</v>
      </c>
      <c r="B2810" s="6" t="str">
        <f>T("EN VERRE")</f>
        <v>EN VERRE</v>
      </c>
      <c r="C2810" s="1"/>
      <c r="D2810" s="1"/>
    </row>
    <row r="2811" spans="1:4" x14ac:dyDescent="0.25">
      <c r="B2811" t="str">
        <f>T("   Niger")</f>
        <v xml:space="preserve">   Niger</v>
      </c>
      <c r="C2811" s="2">
        <v>3923</v>
      </c>
      <c r="D2811" s="2">
        <v>1688898</v>
      </c>
    </row>
    <row r="2812" spans="1:4" s="6" customFormat="1" x14ac:dyDescent="0.25">
      <c r="B2812" s="6" t="str">
        <f>T("   Total Monde")</f>
        <v xml:space="preserve">   Total Monde</v>
      </c>
      <c r="C2812" s="1">
        <v>3923</v>
      </c>
      <c r="D2812" s="1">
        <v>1688898</v>
      </c>
    </row>
    <row r="2813" spans="1:4" s="6" customFormat="1" x14ac:dyDescent="0.25">
      <c r="A2813" s="6" t="str">
        <f>T("940600")</f>
        <v>940600</v>
      </c>
      <c r="B2813" s="6" t="str">
        <f>T("CONSTRUCTIONS PREFABRIQUEES.")</f>
        <v>CONSTRUCTIONS PREFABRIQUEES.</v>
      </c>
      <c r="C2813" s="1"/>
      <c r="D2813" s="1"/>
    </row>
    <row r="2814" spans="1:4" x14ac:dyDescent="0.25">
      <c r="B2814" t="str">
        <f>T("   Gabon")</f>
        <v xml:space="preserve">   Gabon</v>
      </c>
      <c r="C2814" s="2">
        <v>2883</v>
      </c>
      <c r="D2814" s="2">
        <v>90157514</v>
      </c>
    </row>
    <row r="2815" spans="1:4" x14ac:dyDescent="0.25">
      <c r="B2815" t="str">
        <f>T("   Togo")</f>
        <v xml:space="preserve">   Togo</v>
      </c>
      <c r="C2815" s="2">
        <v>7000</v>
      </c>
      <c r="D2815" s="2">
        <v>7910000</v>
      </c>
    </row>
    <row r="2816" spans="1:4" x14ac:dyDescent="0.25">
      <c r="B2816" t="str">
        <f>T("   Etats-Unis")</f>
        <v xml:space="preserve">   Etats-Unis</v>
      </c>
      <c r="C2816" s="2">
        <v>8080</v>
      </c>
      <c r="D2816" s="2">
        <v>27882674</v>
      </c>
    </row>
    <row r="2817" spans="1:4" s="6" customFormat="1" x14ac:dyDescent="0.25">
      <c r="B2817" s="6" t="str">
        <f>T("   Total Monde")</f>
        <v xml:space="preserve">   Total Monde</v>
      </c>
      <c r="C2817" s="1">
        <v>17963</v>
      </c>
      <c r="D2817" s="1">
        <v>125950188</v>
      </c>
    </row>
    <row r="2818" spans="1:4" s="6" customFormat="1" x14ac:dyDescent="0.25">
      <c r="A2818" s="6" t="str">
        <f>T("950300")</f>
        <v>950300</v>
      </c>
      <c r="B2818" s="6" t="str">
        <f>T("TRICYCLES, TROTTINETTES, AUTOS A PEDALES ET JOUETS A ROUES SIMILAIRES; LANDAUS ET POUSS")</f>
        <v>TRICYCLES, TROTTINETTES, AUTOS A PEDALES ET JOUETS A ROUES SIMILAIRES; LANDAUS ET POUSS</v>
      </c>
      <c r="C2818" s="1"/>
      <c r="D2818" s="1"/>
    </row>
    <row r="2819" spans="1:4" x14ac:dyDescent="0.25">
      <c r="B2819" t="str">
        <f>T("   Fiji")</f>
        <v xml:space="preserve">   Fiji</v>
      </c>
      <c r="C2819" s="2">
        <v>100</v>
      </c>
      <c r="D2819" s="2">
        <v>100000</v>
      </c>
    </row>
    <row r="2820" spans="1:4" x14ac:dyDescent="0.25">
      <c r="B2820" t="str">
        <f>T("   Togo")</f>
        <v xml:space="preserve">   Togo</v>
      </c>
      <c r="C2820" s="2">
        <v>500</v>
      </c>
      <c r="D2820" s="2">
        <v>500000</v>
      </c>
    </row>
    <row r="2821" spans="1:4" s="6" customFormat="1" x14ac:dyDescent="0.25">
      <c r="B2821" s="6" t="str">
        <f>T("   Total Monde")</f>
        <v xml:space="preserve">   Total Monde</v>
      </c>
      <c r="C2821" s="1">
        <v>600</v>
      </c>
      <c r="D2821" s="1">
        <v>600000</v>
      </c>
    </row>
    <row r="2822" spans="1:4" s="6" customFormat="1" x14ac:dyDescent="0.25">
      <c r="A2822" s="6" t="str">
        <f>T("950490")</f>
        <v>950490</v>
      </c>
      <c r="B2822" s="6" t="str">
        <f>T("AUTRES")</f>
        <v>AUTRES</v>
      </c>
      <c r="C2822" s="1"/>
      <c r="D2822" s="1"/>
    </row>
    <row r="2823" spans="1:4" x14ac:dyDescent="0.25">
      <c r="B2823" t="str">
        <f>T("   France")</f>
        <v xml:space="preserve">   France</v>
      </c>
      <c r="C2823" s="2">
        <v>60</v>
      </c>
      <c r="D2823" s="2">
        <v>1332255</v>
      </c>
    </row>
    <row r="2824" spans="1:4" s="6" customFormat="1" x14ac:dyDescent="0.25">
      <c r="B2824" s="6" t="str">
        <f>T("   Total Monde")</f>
        <v xml:space="preserve">   Total Monde</v>
      </c>
      <c r="C2824" s="1">
        <v>60</v>
      </c>
      <c r="D2824" s="1">
        <v>1332255</v>
      </c>
    </row>
    <row r="2825" spans="1:4" s="6" customFormat="1" x14ac:dyDescent="0.25">
      <c r="A2825" s="6" t="str">
        <f>T("950590")</f>
        <v>950590</v>
      </c>
      <c r="B2825" s="6" t="str">
        <f>T("AUTRES")</f>
        <v>AUTRES</v>
      </c>
      <c r="C2825" s="1"/>
      <c r="D2825" s="1"/>
    </row>
    <row r="2826" spans="1:4" x14ac:dyDescent="0.25">
      <c r="B2826" t="str">
        <f>T("   Côte d'Ivoire")</f>
        <v xml:space="preserve">   Côte d'Ivoire</v>
      </c>
      <c r="C2826" s="2">
        <v>25000</v>
      </c>
      <c r="D2826" s="2">
        <v>3040000</v>
      </c>
    </row>
    <row r="2827" spans="1:4" s="6" customFormat="1" x14ac:dyDescent="0.25">
      <c r="B2827" s="6" t="str">
        <f>T("   Total Monde")</f>
        <v xml:space="preserve">   Total Monde</v>
      </c>
      <c r="C2827" s="1">
        <v>25000</v>
      </c>
      <c r="D2827" s="1">
        <v>3040000</v>
      </c>
    </row>
    <row r="2828" spans="1:4" s="6" customFormat="1" x14ac:dyDescent="0.25">
      <c r="A2828" s="6" t="str">
        <f>T("950699")</f>
        <v>950699</v>
      </c>
      <c r="B2828" s="6" t="str">
        <f>T("AUTRES")</f>
        <v>AUTRES</v>
      </c>
      <c r="C2828" s="1"/>
      <c r="D2828" s="1"/>
    </row>
    <row r="2829" spans="1:4" x14ac:dyDescent="0.25">
      <c r="B2829" t="str">
        <f>T("   Etats-Unis")</f>
        <v xml:space="preserve">   Etats-Unis</v>
      </c>
      <c r="C2829" s="2">
        <v>211</v>
      </c>
      <c r="D2829" s="2">
        <v>200000</v>
      </c>
    </row>
    <row r="2830" spans="1:4" s="6" customFormat="1" x14ac:dyDescent="0.25">
      <c r="B2830" s="6" t="str">
        <f>T("   Total Monde")</f>
        <v xml:space="preserve">   Total Monde</v>
      </c>
      <c r="C2830" s="1">
        <v>211</v>
      </c>
      <c r="D2830" s="1">
        <v>200000</v>
      </c>
    </row>
    <row r="2831" spans="1:4" s="6" customFormat="1" x14ac:dyDescent="0.25">
      <c r="A2831" s="6" t="str">
        <f>T("960190")</f>
        <v>960190</v>
      </c>
      <c r="B2831" s="6" t="str">
        <f>T("AUTRES")</f>
        <v>AUTRES</v>
      </c>
      <c r="C2831" s="1"/>
      <c r="D2831" s="1"/>
    </row>
    <row r="2832" spans="1:4" x14ac:dyDescent="0.25">
      <c r="B2832" t="str">
        <f>T("   Vietnam")</f>
        <v xml:space="preserve">   Vietnam</v>
      </c>
      <c r="C2832" s="2">
        <v>16000</v>
      </c>
      <c r="D2832" s="2">
        <v>3200000</v>
      </c>
    </row>
    <row r="2833" spans="1:4" s="6" customFormat="1" x14ac:dyDescent="0.25">
      <c r="B2833" s="6" t="str">
        <f>T("   Total Monde")</f>
        <v xml:space="preserve">   Total Monde</v>
      </c>
      <c r="C2833" s="1">
        <v>16000</v>
      </c>
      <c r="D2833" s="1">
        <v>3200000</v>
      </c>
    </row>
    <row r="2834" spans="1:4" s="6" customFormat="1" x14ac:dyDescent="0.25">
      <c r="A2834" s="6" t="str">
        <f>T("960329")</f>
        <v>960329</v>
      </c>
      <c r="B2834" s="6" t="str">
        <f>T("AUTRES")</f>
        <v>AUTRES</v>
      </c>
      <c r="C2834" s="1"/>
      <c r="D2834" s="1"/>
    </row>
    <row r="2835" spans="1:4" x14ac:dyDescent="0.25">
      <c r="B2835" t="str">
        <f>T("   Etats-Unis")</f>
        <v xml:space="preserve">   Etats-Unis</v>
      </c>
      <c r="C2835" s="2">
        <v>31</v>
      </c>
      <c r="D2835" s="2">
        <v>189748</v>
      </c>
    </row>
    <row r="2836" spans="1:4" s="6" customFormat="1" x14ac:dyDescent="0.25">
      <c r="B2836" s="6" t="str">
        <f>T("   Total Monde")</f>
        <v xml:space="preserve">   Total Monde</v>
      </c>
      <c r="C2836" s="1">
        <v>31</v>
      </c>
      <c r="D2836" s="1">
        <v>189748</v>
      </c>
    </row>
    <row r="2837" spans="1:4" s="6" customFormat="1" x14ac:dyDescent="0.25">
      <c r="A2837" s="6" t="str">
        <f>T("960390")</f>
        <v>960390</v>
      </c>
      <c r="B2837" s="6" t="str">
        <f>T("AUTRES")</f>
        <v>AUTRES</v>
      </c>
      <c r="C2837" s="1"/>
      <c r="D2837" s="1"/>
    </row>
    <row r="2838" spans="1:4" x14ac:dyDescent="0.25">
      <c r="B2838" t="str">
        <f>T("   Gabon")</f>
        <v xml:space="preserve">   Gabon</v>
      </c>
      <c r="C2838" s="2">
        <v>1</v>
      </c>
      <c r="D2838" s="2">
        <v>35350</v>
      </c>
    </row>
    <row r="2839" spans="1:4" s="6" customFormat="1" x14ac:dyDescent="0.25">
      <c r="B2839" s="6" t="str">
        <f>T("   Total Monde")</f>
        <v xml:space="preserve">   Total Monde</v>
      </c>
      <c r="C2839" s="1">
        <v>1</v>
      </c>
      <c r="D2839" s="1">
        <v>35350</v>
      </c>
    </row>
    <row r="2840" spans="1:4" s="6" customFormat="1" x14ac:dyDescent="0.25">
      <c r="A2840" s="6" t="str">
        <f>T("970110")</f>
        <v>970110</v>
      </c>
      <c r="B2840" s="6" t="str">
        <f>T("TABLEAUX, PEINTURES ET DESSINS")</f>
        <v>TABLEAUX, PEINTURES ET DESSINS</v>
      </c>
      <c r="C2840" s="1"/>
      <c r="D2840" s="1"/>
    </row>
    <row r="2841" spans="1:4" x14ac:dyDescent="0.25">
      <c r="B2841" t="str">
        <f>T("   El Salvador")</f>
        <v xml:space="preserve">   El Salvador</v>
      </c>
      <c r="C2841" s="2">
        <v>142</v>
      </c>
      <c r="D2841" s="2">
        <v>1364397</v>
      </c>
    </row>
    <row r="2842" spans="1:4" s="6" customFormat="1" x14ac:dyDescent="0.25">
      <c r="B2842" s="6" t="str">
        <f>T("   Total Monde")</f>
        <v xml:space="preserve">   Total Monde</v>
      </c>
      <c r="C2842" s="1">
        <v>142</v>
      </c>
      <c r="D2842" s="1">
        <v>1364397</v>
      </c>
    </row>
    <row r="2843" spans="1:4" s="6" customFormat="1" x14ac:dyDescent="0.25">
      <c r="A2843" s="6" t="str">
        <f>T("970190")</f>
        <v>970190</v>
      </c>
      <c r="B2843" s="6" t="str">
        <f>T("AUTRES")</f>
        <v>AUTRES</v>
      </c>
      <c r="C2843" s="1"/>
      <c r="D2843" s="1"/>
    </row>
    <row r="2844" spans="1:4" x14ac:dyDescent="0.25">
      <c r="B2844" t="str">
        <f>T("   Falkland, îles (Malvinas)")</f>
        <v xml:space="preserve">   Falkland, îles (Malvinas)</v>
      </c>
      <c r="C2844" s="2">
        <v>315</v>
      </c>
      <c r="D2844" s="2">
        <v>600000</v>
      </c>
    </row>
    <row r="2845" spans="1:4" x14ac:dyDescent="0.25">
      <c r="B2845" t="str">
        <f>T("   Sénégal")</f>
        <v xml:space="preserve">   Sénégal</v>
      </c>
      <c r="C2845" s="2">
        <v>4200</v>
      </c>
      <c r="D2845" s="2">
        <v>50000000</v>
      </c>
    </row>
    <row r="2846" spans="1:4" s="6" customFormat="1" x14ac:dyDescent="0.25">
      <c r="B2846" s="6" t="str">
        <f>T("   Total Monde")</f>
        <v xml:space="preserve">   Total Monde</v>
      </c>
      <c r="C2846" s="1">
        <v>4515</v>
      </c>
      <c r="D2846" s="1">
        <v>50600000</v>
      </c>
    </row>
    <row r="2847" spans="1:4" s="6" customFormat="1" x14ac:dyDescent="0.25">
      <c r="A2847" s="6" t="str">
        <f>T("970300")</f>
        <v>970300</v>
      </c>
      <c r="B2847" s="6" t="str">
        <f>T("PRODUCTIONS ORIGINALES DE L'ART STATUAIRE OU DE LA SCULPTURE, EN TOUTES MATIERES.")</f>
        <v>PRODUCTIONS ORIGINALES DE L'ART STATUAIRE OU DE LA SCULPTURE, EN TOUTES MATIERES.</v>
      </c>
      <c r="C2847" s="1"/>
      <c r="D2847" s="1"/>
    </row>
    <row r="2848" spans="1:4" x14ac:dyDescent="0.25">
      <c r="B2848" t="str">
        <f>T("   Belgique")</f>
        <v xml:space="preserve">   Belgique</v>
      </c>
      <c r="C2848" s="2">
        <v>170</v>
      </c>
      <c r="D2848" s="2">
        <v>400000</v>
      </c>
    </row>
    <row r="2849" spans="1:4" x14ac:dyDescent="0.25">
      <c r="B2849" t="str">
        <f>T("   Brésil")</f>
        <v xml:space="preserve">   Brésil</v>
      </c>
      <c r="C2849" s="2">
        <v>172</v>
      </c>
      <c r="D2849" s="2">
        <v>180000</v>
      </c>
    </row>
    <row r="2850" spans="1:4" x14ac:dyDescent="0.25">
      <c r="B2850" t="str">
        <f>T("   Suisse")</f>
        <v xml:space="preserve">   Suisse</v>
      </c>
      <c r="C2850" s="2">
        <v>210</v>
      </c>
      <c r="D2850" s="2">
        <v>2511760</v>
      </c>
    </row>
    <row r="2851" spans="1:4" x14ac:dyDescent="0.25">
      <c r="B2851" t="str">
        <f>T("   Italie")</f>
        <v xml:space="preserve">   Italie</v>
      </c>
      <c r="C2851" s="2">
        <v>160</v>
      </c>
      <c r="D2851" s="2">
        <v>2152780</v>
      </c>
    </row>
    <row r="2852" spans="1:4" x14ac:dyDescent="0.25">
      <c r="B2852" t="str">
        <f>T("   Etats-Unis")</f>
        <v xml:space="preserve">   Etats-Unis</v>
      </c>
      <c r="C2852" s="2">
        <v>5450</v>
      </c>
      <c r="D2852" s="2">
        <v>1375000</v>
      </c>
    </row>
    <row r="2853" spans="1:4" s="6" customFormat="1" x14ac:dyDescent="0.25">
      <c r="B2853" s="6" t="str">
        <f>T("   Total Monde")</f>
        <v xml:space="preserve">   Total Monde</v>
      </c>
      <c r="C2853" s="1">
        <v>6162</v>
      </c>
      <c r="D2853" s="1">
        <v>6619540</v>
      </c>
    </row>
    <row r="2854" spans="1:4" s="6" customFormat="1" x14ac:dyDescent="0.25">
      <c r="A2854" s="6" t="str">
        <f>T("970600")</f>
        <v>970600</v>
      </c>
      <c r="B2854" s="6" t="str">
        <f>T("OBJETS D'ANTIQUITE AYANT PLUS DE 100 ANS D'AGE.")</f>
        <v>OBJETS D'ANTIQUITE AYANT PLUS DE 100 ANS D'AGE.</v>
      </c>
      <c r="C2854" s="1"/>
      <c r="D2854" s="1"/>
    </row>
    <row r="2855" spans="1:4" x14ac:dyDescent="0.25">
      <c r="B2855" t="str">
        <f>T("   Belize")</f>
        <v xml:space="preserve">   Belize</v>
      </c>
      <c r="C2855" s="2">
        <v>608</v>
      </c>
      <c r="D2855" s="2">
        <v>275000</v>
      </c>
    </row>
    <row r="2856" spans="1:4" x14ac:dyDescent="0.25">
      <c r="B2856" t="str">
        <f>T("   France")</f>
        <v xml:space="preserve">   France</v>
      </c>
      <c r="C2856" s="2">
        <v>368</v>
      </c>
      <c r="D2856" s="2">
        <v>150000</v>
      </c>
    </row>
    <row r="2857" spans="1:4" s="6" customFormat="1" x14ac:dyDescent="0.25">
      <c r="B2857" s="6" t="str">
        <f>T("   Total Monde")</f>
        <v xml:space="preserve">   Total Monde</v>
      </c>
      <c r="C2857" s="1">
        <v>976</v>
      </c>
      <c r="D2857" s="1">
        <v>425000</v>
      </c>
    </row>
    <row r="2858" spans="1:4" s="6" customFormat="1" x14ac:dyDescent="0.25">
      <c r="A2858" s="6" t="str">
        <f>T("ZZ_Total_Produit_SH6")</f>
        <v>ZZ_Total_Produit_SH6</v>
      </c>
      <c r="B2858" s="6" t="str">
        <f>T("ZZ_Total_Produit_SH6")</f>
        <v>ZZ_Total_Produit_SH6</v>
      </c>
      <c r="C2858" s="1"/>
      <c r="D2858" s="1"/>
    </row>
    <row r="2859" spans="1:4" x14ac:dyDescent="0.25">
      <c r="B2859" t="str">
        <f>T("   Emirats Arabes Unis")</f>
        <v xml:space="preserve">   Emirats Arabes Unis</v>
      </c>
      <c r="C2859" s="2">
        <v>388228.21</v>
      </c>
      <c r="D2859" s="2">
        <v>267595334</v>
      </c>
    </row>
    <row r="2860" spans="1:4" x14ac:dyDescent="0.25">
      <c r="B2860" t="str">
        <f>T("   Autriche")</f>
        <v xml:space="preserve">   Autriche</v>
      </c>
      <c r="C2860" s="2">
        <v>520</v>
      </c>
      <c r="D2860" s="2">
        <v>499390</v>
      </c>
    </row>
    <row r="2861" spans="1:4" x14ac:dyDescent="0.25">
      <c r="B2861" t="str">
        <f>T("   Australie")</f>
        <v xml:space="preserve">   Australie</v>
      </c>
      <c r="C2861" s="2">
        <v>838</v>
      </c>
      <c r="D2861" s="2">
        <v>2647313</v>
      </c>
    </row>
    <row r="2862" spans="1:4" x14ac:dyDescent="0.25">
      <c r="B2862" t="str">
        <f>T("   Bosnie Herzégovine")</f>
        <v xml:space="preserve">   Bosnie Herzégovine</v>
      </c>
      <c r="C2862" s="2">
        <v>4017</v>
      </c>
      <c r="D2862" s="2">
        <v>5140181</v>
      </c>
    </row>
    <row r="2863" spans="1:4" x14ac:dyDescent="0.25">
      <c r="B2863" t="str">
        <f>T("   Bangladesh")</f>
        <v xml:space="preserve">   Bangladesh</v>
      </c>
      <c r="C2863" s="2">
        <v>20170576</v>
      </c>
      <c r="D2863" s="2">
        <v>18479063032</v>
      </c>
    </row>
    <row r="2864" spans="1:4" x14ac:dyDescent="0.25">
      <c r="B2864" t="str">
        <f>T("   Belgique")</f>
        <v xml:space="preserve">   Belgique</v>
      </c>
      <c r="C2864" s="2">
        <v>1906595</v>
      </c>
      <c r="D2864" s="2">
        <v>1721025644</v>
      </c>
    </row>
    <row r="2865" spans="2:4" x14ac:dyDescent="0.25">
      <c r="B2865" t="str">
        <f>T("   Burkina Faso")</f>
        <v xml:space="preserve">   Burkina Faso</v>
      </c>
      <c r="C2865" s="2">
        <v>4715206.37</v>
      </c>
      <c r="D2865" s="2">
        <v>1681179776</v>
      </c>
    </row>
    <row r="2866" spans="2:4" x14ac:dyDescent="0.25">
      <c r="B2866" t="str">
        <f>T("   Burundi")</f>
        <v xml:space="preserve">   Burundi</v>
      </c>
      <c r="C2866" s="2">
        <v>44</v>
      </c>
      <c r="D2866" s="2">
        <v>5956089</v>
      </c>
    </row>
    <row r="2867" spans="2:4" x14ac:dyDescent="0.25">
      <c r="B2867" t="str">
        <f>T("   Brésil")</f>
        <v xml:space="preserve">   Brésil</v>
      </c>
      <c r="C2867" s="2">
        <v>484483</v>
      </c>
      <c r="D2867" s="2">
        <v>460174199</v>
      </c>
    </row>
    <row r="2868" spans="2:4" x14ac:dyDescent="0.25">
      <c r="B2868" t="str">
        <f>T("   Belize")</f>
        <v xml:space="preserve">   Belize</v>
      </c>
      <c r="C2868" s="2">
        <v>777</v>
      </c>
      <c r="D2868" s="2">
        <v>4258168</v>
      </c>
    </row>
    <row r="2869" spans="2:4" x14ac:dyDescent="0.25">
      <c r="B2869" t="str">
        <f>T("   Canada")</f>
        <v xml:space="preserve">   Canada</v>
      </c>
      <c r="C2869" s="2">
        <v>4048.85</v>
      </c>
      <c r="D2869" s="2">
        <v>165397973</v>
      </c>
    </row>
    <row r="2870" spans="2:4" x14ac:dyDescent="0.25">
      <c r="B2870" t="str">
        <f>T("   Congo, République Démocratique")</f>
        <v xml:space="preserve">   Congo, République Démocratique</v>
      </c>
      <c r="C2870" s="2">
        <v>80546</v>
      </c>
      <c r="D2870" s="2">
        <v>109025819</v>
      </c>
    </row>
    <row r="2871" spans="2:4" x14ac:dyDescent="0.25">
      <c r="B2871" t="str">
        <f>T("   Centrafricaine, République")</f>
        <v xml:space="preserve">   Centrafricaine, République</v>
      </c>
      <c r="C2871" s="2">
        <v>18479</v>
      </c>
      <c r="D2871" s="2">
        <v>233823583</v>
      </c>
    </row>
    <row r="2872" spans="2:4" x14ac:dyDescent="0.25">
      <c r="B2872" t="str">
        <f>T("   Congo (Brazzaville)")</f>
        <v xml:space="preserve">   Congo (Brazzaville)</v>
      </c>
      <c r="C2872" s="2">
        <v>318349.5</v>
      </c>
      <c r="D2872" s="2">
        <v>492888570</v>
      </c>
    </row>
    <row r="2873" spans="2:4" x14ac:dyDescent="0.25">
      <c r="B2873" t="str">
        <f>T("   Suisse")</f>
        <v xml:space="preserve">   Suisse</v>
      </c>
      <c r="C2873" s="2">
        <v>1578810</v>
      </c>
      <c r="D2873" s="2">
        <v>1489629485</v>
      </c>
    </row>
    <row r="2874" spans="2:4" x14ac:dyDescent="0.25">
      <c r="B2874" t="str">
        <f>T("   Côte d'Ivoire")</f>
        <v xml:space="preserve">   Côte d'Ivoire</v>
      </c>
      <c r="C2874" s="2">
        <v>6808836.7699999996</v>
      </c>
      <c r="D2874" s="2">
        <v>6263653823</v>
      </c>
    </row>
    <row r="2875" spans="2:4" x14ac:dyDescent="0.25">
      <c r="B2875" t="str">
        <f>T("   Cameroun")</f>
        <v xml:space="preserve">   Cameroun</v>
      </c>
      <c r="C2875" s="2">
        <v>250128</v>
      </c>
      <c r="D2875" s="2">
        <v>623943541</v>
      </c>
    </row>
    <row r="2876" spans="2:4" x14ac:dyDescent="0.25">
      <c r="B2876" t="str">
        <f>T("   Chine")</f>
        <v xml:space="preserve">   Chine</v>
      </c>
      <c r="C2876" s="2">
        <v>174854318</v>
      </c>
      <c r="D2876" s="2">
        <v>40122040773</v>
      </c>
    </row>
    <row r="2877" spans="2:4" x14ac:dyDescent="0.25">
      <c r="B2877" t="str">
        <f>T("   Colombie")</f>
        <v xml:space="preserve">   Colombie</v>
      </c>
      <c r="C2877" s="2">
        <v>206183.37</v>
      </c>
      <c r="D2877" s="2">
        <v>161777372</v>
      </c>
    </row>
    <row r="2878" spans="2:4" x14ac:dyDescent="0.25">
      <c r="B2878" t="str">
        <f>T("   Tchécoslovaquie")</f>
        <v xml:space="preserve">   Tchécoslovaquie</v>
      </c>
      <c r="C2878" s="2">
        <v>2000</v>
      </c>
      <c r="D2878" s="2">
        <v>2000000</v>
      </c>
    </row>
    <row r="2879" spans="2:4" x14ac:dyDescent="0.25">
      <c r="B2879" t="str">
        <f>T("   Chypre")</f>
        <v xml:space="preserve">   Chypre</v>
      </c>
      <c r="C2879" s="2">
        <v>20</v>
      </c>
      <c r="D2879" s="2">
        <v>139064</v>
      </c>
    </row>
    <row r="2880" spans="2:4" x14ac:dyDescent="0.25">
      <c r="B2880" t="str">
        <f>T("   Allemagne")</f>
        <v xml:space="preserve">   Allemagne</v>
      </c>
      <c r="C2880" s="2">
        <v>730478.5</v>
      </c>
      <c r="D2880" s="2">
        <v>749601107</v>
      </c>
    </row>
    <row r="2881" spans="2:4" x14ac:dyDescent="0.25">
      <c r="B2881" t="str">
        <f>T("   Djibouti")</f>
        <v xml:space="preserve">   Djibouti</v>
      </c>
      <c r="C2881" s="2">
        <v>75753</v>
      </c>
      <c r="D2881" s="2">
        <v>71616595</v>
      </c>
    </row>
    <row r="2882" spans="2:4" x14ac:dyDescent="0.25">
      <c r="B2882" t="str">
        <f>T("   Danemark")</f>
        <v xml:space="preserve">   Danemark</v>
      </c>
      <c r="C2882" s="2">
        <v>39063523.299999997</v>
      </c>
      <c r="D2882" s="2">
        <v>9206661181</v>
      </c>
    </row>
    <row r="2883" spans="2:4" x14ac:dyDescent="0.25">
      <c r="B2883" t="str">
        <f>T("   Equateur")</f>
        <v xml:space="preserve">   Equateur</v>
      </c>
      <c r="C2883" s="2">
        <v>25</v>
      </c>
      <c r="D2883" s="2">
        <v>20000</v>
      </c>
    </row>
    <row r="2884" spans="2:4" x14ac:dyDescent="0.25">
      <c r="B2884" t="str">
        <f>T("   Egypte")</f>
        <v xml:space="preserve">   Egypte</v>
      </c>
      <c r="C2884" s="2">
        <v>3164109</v>
      </c>
      <c r="D2884" s="2">
        <v>2684351780</v>
      </c>
    </row>
    <row r="2885" spans="2:4" x14ac:dyDescent="0.25">
      <c r="B2885" t="str">
        <f>T("   Espagne")</f>
        <v xml:space="preserve">   Espagne</v>
      </c>
      <c r="C2885" s="2">
        <v>1800849</v>
      </c>
      <c r="D2885" s="2">
        <v>1021946830</v>
      </c>
    </row>
    <row r="2886" spans="2:4" x14ac:dyDescent="0.25">
      <c r="B2886" t="str">
        <f>T("   Ethiopie")</f>
        <v xml:space="preserve">   Ethiopie</v>
      </c>
      <c r="C2886" s="2">
        <v>2000</v>
      </c>
      <c r="D2886" s="2">
        <v>2000000</v>
      </c>
    </row>
    <row r="2887" spans="2:4" x14ac:dyDescent="0.25">
      <c r="B2887" t="str">
        <f>T("   Fiji")</f>
        <v xml:space="preserve">   Fiji</v>
      </c>
      <c r="C2887" s="2">
        <v>2000</v>
      </c>
      <c r="D2887" s="2">
        <v>1500000</v>
      </c>
    </row>
    <row r="2888" spans="2:4" x14ac:dyDescent="0.25">
      <c r="B2888" t="str">
        <f>T("   Falkland, îles (Malvinas)")</f>
        <v xml:space="preserve">   Falkland, îles (Malvinas)</v>
      </c>
      <c r="C2888" s="2">
        <v>315</v>
      </c>
      <c r="D2888" s="2">
        <v>600000</v>
      </c>
    </row>
    <row r="2889" spans="2:4" x14ac:dyDescent="0.25">
      <c r="B2889" t="str">
        <f>T("   France")</f>
        <v xml:space="preserve">   France</v>
      </c>
      <c r="C2889" s="2">
        <v>6705099.2400000002</v>
      </c>
      <c r="D2889" s="2">
        <v>11356699161</v>
      </c>
    </row>
    <row r="2890" spans="2:4" x14ac:dyDescent="0.25">
      <c r="B2890" t="str">
        <f>T("   Gabon")</f>
        <v xml:space="preserve">   Gabon</v>
      </c>
      <c r="C2890" s="2">
        <v>5951674.3799999999</v>
      </c>
      <c r="D2890" s="2">
        <v>70510387532</v>
      </c>
    </row>
    <row r="2891" spans="2:4" x14ac:dyDescent="0.25">
      <c r="B2891" t="str">
        <f>T("   Royaume-Uni")</f>
        <v xml:space="preserve">   Royaume-Uni</v>
      </c>
      <c r="C2891" s="2">
        <v>426196.8</v>
      </c>
      <c r="D2891" s="2">
        <v>1889980193</v>
      </c>
    </row>
    <row r="2892" spans="2:4" x14ac:dyDescent="0.25">
      <c r="B2892" t="str">
        <f>T("   Ghana")</f>
        <v xml:space="preserve">   Ghana</v>
      </c>
      <c r="C2892" s="2">
        <v>7009955.6299999999</v>
      </c>
      <c r="D2892" s="2">
        <v>14583384585</v>
      </c>
    </row>
    <row r="2893" spans="2:4" x14ac:dyDescent="0.25">
      <c r="B2893" t="str">
        <f>T("   Gambie")</f>
        <v xml:space="preserve">   Gambie</v>
      </c>
      <c r="C2893" s="2">
        <v>5000</v>
      </c>
      <c r="D2893" s="2">
        <v>2962481</v>
      </c>
    </row>
    <row r="2894" spans="2:4" x14ac:dyDescent="0.25">
      <c r="B2894" t="str">
        <f>T("   Guinée")</f>
        <v xml:space="preserve">   Guinée</v>
      </c>
      <c r="C2894" s="2">
        <v>1573949</v>
      </c>
      <c r="D2894" s="2">
        <v>1145507147</v>
      </c>
    </row>
    <row r="2895" spans="2:4" x14ac:dyDescent="0.25">
      <c r="B2895" t="str">
        <f>T("   Guinée Equatoriale")</f>
        <v xml:space="preserve">   Guinée Equatoriale</v>
      </c>
      <c r="C2895" s="2">
        <v>189513</v>
      </c>
      <c r="D2895" s="2">
        <v>78618183</v>
      </c>
    </row>
    <row r="2896" spans="2:4" x14ac:dyDescent="0.25">
      <c r="B2896" t="str">
        <f>T("   Hong-Kong")</f>
        <v xml:space="preserve">   Hong-Kong</v>
      </c>
      <c r="C2896" s="2">
        <v>226042</v>
      </c>
      <c r="D2896" s="2">
        <v>109591880</v>
      </c>
    </row>
    <row r="2897" spans="2:4" x14ac:dyDescent="0.25">
      <c r="B2897" t="str">
        <f>T("   Heard et McDonald, îles")</f>
        <v xml:space="preserve">   Heard et McDonald, îles</v>
      </c>
      <c r="C2897" s="2">
        <v>83.5</v>
      </c>
      <c r="D2897" s="2">
        <v>3928399</v>
      </c>
    </row>
    <row r="2898" spans="2:4" x14ac:dyDescent="0.25">
      <c r="B2898" t="str">
        <f>T("   Haïti")</f>
        <v xml:space="preserve">   Haïti</v>
      </c>
      <c r="C2898" s="2">
        <v>1870</v>
      </c>
      <c r="D2898" s="2">
        <v>3500000</v>
      </c>
    </row>
    <row r="2899" spans="2:4" x14ac:dyDescent="0.25">
      <c r="B2899" t="str">
        <f>T("   Indonésie")</f>
        <v xml:space="preserve">   Indonésie</v>
      </c>
      <c r="C2899" s="2">
        <v>15482304</v>
      </c>
      <c r="D2899" s="2">
        <v>12835641789</v>
      </c>
    </row>
    <row r="2900" spans="2:4" x14ac:dyDescent="0.25">
      <c r="B2900" t="str">
        <f>T("   Inde")</f>
        <v xml:space="preserve">   Inde</v>
      </c>
      <c r="C2900" s="2">
        <v>166985366.58000001</v>
      </c>
      <c r="D2900" s="2">
        <v>39734459222</v>
      </c>
    </row>
    <row r="2901" spans="2:4" x14ac:dyDescent="0.25">
      <c r="B2901" t="str">
        <f>T("   Italie")</f>
        <v xml:space="preserve">   Italie</v>
      </c>
      <c r="C2901" s="2">
        <v>1242505.8</v>
      </c>
      <c r="D2901" s="2">
        <v>687150532</v>
      </c>
    </row>
    <row r="2902" spans="2:4" x14ac:dyDescent="0.25">
      <c r="B2902" t="str">
        <f>T("   Jordanie")</f>
        <v xml:space="preserve">   Jordanie</v>
      </c>
      <c r="C2902" s="2">
        <v>600</v>
      </c>
      <c r="D2902" s="2">
        <v>1478000</v>
      </c>
    </row>
    <row r="2903" spans="2:4" x14ac:dyDescent="0.25">
      <c r="B2903" t="str">
        <f>T("   Japon")</f>
        <v xml:space="preserve">   Japon</v>
      </c>
      <c r="C2903" s="2">
        <v>4260</v>
      </c>
      <c r="D2903" s="2">
        <v>14663744</v>
      </c>
    </row>
    <row r="2904" spans="2:4" x14ac:dyDescent="0.25">
      <c r="B2904" t="str">
        <f>T("   Kenya")</f>
        <v xml:space="preserve">   Kenya</v>
      </c>
      <c r="C2904" s="2">
        <v>24602</v>
      </c>
      <c r="D2904" s="2">
        <v>9000000</v>
      </c>
    </row>
    <row r="2905" spans="2:4" x14ac:dyDescent="0.25">
      <c r="B2905" t="str">
        <f>T("   Kirghizistan")</f>
        <v xml:space="preserve">   Kirghizistan</v>
      </c>
      <c r="C2905" s="2">
        <v>2000</v>
      </c>
      <c r="D2905" s="2">
        <v>22793828</v>
      </c>
    </row>
    <row r="2906" spans="2:4" x14ac:dyDescent="0.25">
      <c r="B2906" t="str">
        <f>T("   Cambodge")</f>
        <v xml:space="preserve">   Cambodge</v>
      </c>
      <c r="C2906" s="2">
        <v>40000</v>
      </c>
      <c r="D2906" s="2">
        <v>2000000</v>
      </c>
    </row>
    <row r="2907" spans="2:4" x14ac:dyDescent="0.25">
      <c r="B2907" t="str">
        <f>T("   Corée, République de")</f>
        <v xml:space="preserve">   Corée, République de</v>
      </c>
      <c r="C2907" s="2">
        <v>1855142</v>
      </c>
      <c r="D2907" s="2">
        <v>106202756</v>
      </c>
    </row>
    <row r="2908" spans="2:4" x14ac:dyDescent="0.25">
      <c r="B2908" t="str">
        <f>T("   Koweit")</f>
        <v xml:space="preserve">   Koweit</v>
      </c>
      <c r="C2908" s="2">
        <v>2053</v>
      </c>
      <c r="D2908" s="2">
        <v>3300000</v>
      </c>
    </row>
    <row r="2909" spans="2:4" x14ac:dyDescent="0.25">
      <c r="B2909" t="str">
        <f>T("   Liban")</f>
        <v xml:space="preserve">   Liban</v>
      </c>
      <c r="C2909" s="2">
        <v>226063</v>
      </c>
      <c r="D2909" s="2">
        <v>100799454</v>
      </c>
    </row>
    <row r="2910" spans="2:4" x14ac:dyDescent="0.25">
      <c r="B2910" t="str">
        <f>T("   Liechtenstein")</f>
        <v xml:space="preserve">   Liechtenstein</v>
      </c>
      <c r="C2910" s="2">
        <v>225</v>
      </c>
      <c r="D2910" s="2">
        <v>348527</v>
      </c>
    </row>
    <row r="2911" spans="2:4" x14ac:dyDescent="0.25">
      <c r="B2911" t="str">
        <f>T("   Sri Lanka")</f>
        <v xml:space="preserve">   Sri Lanka</v>
      </c>
      <c r="C2911" s="2">
        <v>1500</v>
      </c>
      <c r="D2911" s="2">
        <v>1480000</v>
      </c>
    </row>
    <row r="2912" spans="2:4" x14ac:dyDescent="0.25">
      <c r="B2912" t="str">
        <f>T("   Libéria")</f>
        <v xml:space="preserve">   Libéria</v>
      </c>
      <c r="C2912" s="2">
        <v>205805</v>
      </c>
      <c r="D2912" s="2">
        <v>1017349711</v>
      </c>
    </row>
    <row r="2913" spans="2:4" x14ac:dyDescent="0.25">
      <c r="B2913" t="str">
        <f>T("   Libyenne, Jamahiriya Arabe")</f>
        <v xml:space="preserve">   Libyenne, Jamahiriya Arabe</v>
      </c>
      <c r="C2913" s="2">
        <v>111627</v>
      </c>
      <c r="D2913" s="2">
        <v>24104345</v>
      </c>
    </row>
    <row r="2914" spans="2:4" x14ac:dyDescent="0.25">
      <c r="B2914" t="str">
        <f>T("   Maroc")</f>
        <v xml:space="preserve">   Maroc</v>
      </c>
      <c r="C2914" s="2">
        <v>1141252.3999999999</v>
      </c>
      <c r="D2914" s="2">
        <v>678442002</v>
      </c>
    </row>
    <row r="2915" spans="2:4" x14ac:dyDescent="0.25">
      <c r="B2915" t="str">
        <f>T("   Monaco")</f>
        <v xml:space="preserve">   Monaco</v>
      </c>
      <c r="C2915" s="2">
        <v>120512</v>
      </c>
      <c r="D2915" s="2">
        <v>104709439</v>
      </c>
    </row>
    <row r="2916" spans="2:4" x14ac:dyDescent="0.25">
      <c r="B2916" t="str">
        <f>T("   Moldova, République de")</f>
        <v xml:space="preserve">   Moldova, République de</v>
      </c>
      <c r="C2916" s="2">
        <v>12872</v>
      </c>
      <c r="D2916" s="2">
        <v>12171710</v>
      </c>
    </row>
    <row r="2917" spans="2:4" x14ac:dyDescent="0.25">
      <c r="B2917" t="str">
        <f>T("   Madagascar")</f>
        <v xml:space="preserve">   Madagascar</v>
      </c>
      <c r="C2917" s="2">
        <v>19117</v>
      </c>
      <c r="D2917" s="2">
        <v>42467304</v>
      </c>
    </row>
    <row r="2918" spans="2:4" x14ac:dyDescent="0.25">
      <c r="B2918" t="str">
        <f>T("   Mali")</f>
        <v xml:space="preserve">   Mali</v>
      </c>
      <c r="C2918" s="2">
        <v>728413</v>
      </c>
      <c r="D2918" s="2">
        <v>790687813</v>
      </c>
    </row>
    <row r="2919" spans="2:4" x14ac:dyDescent="0.25">
      <c r="B2919" t="str">
        <f>T("   Mauritanie")</f>
        <v xml:space="preserve">   Mauritanie</v>
      </c>
      <c r="C2919" s="2">
        <v>129640</v>
      </c>
      <c r="D2919" s="2">
        <v>12939700</v>
      </c>
    </row>
    <row r="2920" spans="2:4" x14ac:dyDescent="0.25">
      <c r="B2920" t="str">
        <f>T("   Malaisie")</f>
        <v xml:space="preserve">   Malaisie</v>
      </c>
      <c r="C2920" s="2">
        <v>15654364</v>
      </c>
      <c r="D2920" s="2">
        <v>12575331323</v>
      </c>
    </row>
    <row r="2921" spans="2:4" x14ac:dyDescent="0.25">
      <c r="B2921" t="str">
        <f>T("   Mozambique")</f>
        <v xml:space="preserve">   Mozambique</v>
      </c>
      <c r="C2921" s="2">
        <v>10000</v>
      </c>
      <c r="D2921" s="2">
        <v>500000</v>
      </c>
    </row>
    <row r="2922" spans="2:4" x14ac:dyDescent="0.25">
      <c r="B2922" t="str">
        <f>T("   Namibie")</f>
        <v xml:space="preserve">   Namibie</v>
      </c>
      <c r="C2922" s="2">
        <v>5419</v>
      </c>
      <c r="D2922" s="2">
        <v>13456341</v>
      </c>
    </row>
    <row r="2923" spans="2:4" x14ac:dyDescent="0.25">
      <c r="B2923" t="str">
        <f>T("   Niger")</f>
        <v xml:space="preserve">   Niger</v>
      </c>
      <c r="C2923" s="2">
        <v>262581943</v>
      </c>
      <c r="D2923" s="2">
        <v>26683055604</v>
      </c>
    </row>
    <row r="2924" spans="2:4" x14ac:dyDescent="0.25">
      <c r="B2924" t="str">
        <f>T("   Nigéria")</f>
        <v xml:space="preserve">   Nigéria</v>
      </c>
      <c r="C2924" s="2">
        <v>14798135.199999999</v>
      </c>
      <c r="D2924" s="2">
        <v>5780957552</v>
      </c>
    </row>
    <row r="2925" spans="2:4" x14ac:dyDescent="0.25">
      <c r="B2925" t="str">
        <f>T("   Pays-bas")</f>
        <v xml:space="preserve">   Pays-bas</v>
      </c>
      <c r="C2925" s="2">
        <v>1402921.65</v>
      </c>
      <c r="D2925" s="2">
        <v>4980746969</v>
      </c>
    </row>
    <row r="2926" spans="2:4" x14ac:dyDescent="0.25">
      <c r="B2926" t="str">
        <f>T("   Norvège")</f>
        <v xml:space="preserve">   Norvège</v>
      </c>
      <c r="C2926" s="2">
        <v>8643.9</v>
      </c>
      <c r="D2926" s="2">
        <v>188124119</v>
      </c>
    </row>
    <row r="2927" spans="2:4" x14ac:dyDescent="0.25">
      <c r="B2927" t="str">
        <f>T("   Philippines")</f>
        <v xml:space="preserve">   Philippines</v>
      </c>
      <c r="C2927" s="2">
        <v>15062</v>
      </c>
      <c r="D2927" s="2">
        <v>2168948</v>
      </c>
    </row>
    <row r="2928" spans="2:4" x14ac:dyDescent="0.25">
      <c r="B2928" t="str">
        <f>T("   Pakistan")</f>
        <v xml:space="preserve">   Pakistan</v>
      </c>
      <c r="C2928" s="2">
        <v>343589</v>
      </c>
      <c r="D2928" s="2">
        <v>37105050</v>
      </c>
    </row>
    <row r="2929" spans="2:4" x14ac:dyDescent="0.25">
      <c r="B2929" t="str">
        <f>T("   Portugal")</f>
        <v xml:space="preserve">   Portugal</v>
      </c>
      <c r="C2929" s="2">
        <v>1781981</v>
      </c>
      <c r="D2929" s="2">
        <v>1424742770</v>
      </c>
    </row>
    <row r="2930" spans="2:4" x14ac:dyDescent="0.25">
      <c r="B2930" t="str">
        <f>T("   Arabie Saoudite")</f>
        <v xml:space="preserve">   Arabie Saoudite</v>
      </c>
      <c r="C2930" s="2">
        <v>1138600</v>
      </c>
      <c r="D2930" s="2">
        <v>115508542</v>
      </c>
    </row>
    <row r="2931" spans="2:4" x14ac:dyDescent="0.25">
      <c r="B2931" t="str">
        <f>T("   Soudan")</f>
        <v xml:space="preserve">   Soudan</v>
      </c>
      <c r="C2931" s="2">
        <v>110660</v>
      </c>
      <c r="D2931" s="2">
        <v>9707600</v>
      </c>
    </row>
    <row r="2932" spans="2:4" x14ac:dyDescent="0.25">
      <c r="B2932" t="str">
        <f>T("   Suède")</f>
        <v xml:space="preserve">   Suède</v>
      </c>
      <c r="C2932" s="2">
        <v>280370</v>
      </c>
      <c r="D2932" s="2">
        <v>2705940</v>
      </c>
    </row>
    <row r="2933" spans="2:4" x14ac:dyDescent="0.25">
      <c r="B2933" t="str">
        <f>T("   Singapour")</f>
        <v xml:space="preserve">   Singapour</v>
      </c>
      <c r="C2933" s="2">
        <v>1124861</v>
      </c>
      <c r="D2933" s="2">
        <v>205847872</v>
      </c>
    </row>
    <row r="2934" spans="2:4" x14ac:dyDescent="0.25">
      <c r="B2934" t="str">
        <f>T("   Sierra Leone")</f>
        <v xml:space="preserve">   Sierra Leone</v>
      </c>
      <c r="C2934" s="2">
        <v>4546</v>
      </c>
      <c r="D2934" s="2">
        <v>893042699</v>
      </c>
    </row>
    <row r="2935" spans="2:4" x14ac:dyDescent="0.25">
      <c r="B2935" t="str">
        <f>T("   Sénégal")</f>
        <v xml:space="preserve">   Sénégal</v>
      </c>
      <c r="C2935" s="2">
        <v>252212</v>
      </c>
      <c r="D2935" s="2">
        <v>190952590</v>
      </c>
    </row>
    <row r="2936" spans="2:4" x14ac:dyDescent="0.25">
      <c r="B2936" t="str">
        <f>T("   El Salvador")</f>
        <v xml:space="preserve">   El Salvador</v>
      </c>
      <c r="C2936" s="2">
        <v>142</v>
      </c>
      <c r="D2936" s="2">
        <v>1364397</v>
      </c>
    </row>
    <row r="2937" spans="2:4" x14ac:dyDescent="0.25">
      <c r="B2937" t="str">
        <f>T("   Swaziland")</f>
        <v xml:space="preserve">   Swaziland</v>
      </c>
      <c r="C2937" s="2">
        <v>93</v>
      </c>
      <c r="D2937" s="2">
        <v>5597347</v>
      </c>
    </row>
    <row r="2938" spans="2:4" x14ac:dyDescent="0.25">
      <c r="B2938" t="str">
        <f>T("   Tchad")</f>
        <v xml:space="preserve">   Tchad</v>
      </c>
      <c r="C2938" s="2">
        <v>30986923</v>
      </c>
      <c r="D2938" s="2">
        <v>11676060927</v>
      </c>
    </row>
    <row r="2939" spans="2:4" x14ac:dyDescent="0.25">
      <c r="B2939" t="str">
        <f>T("   Togo")</f>
        <v xml:space="preserve">   Togo</v>
      </c>
      <c r="C2939" s="2">
        <v>50310497</v>
      </c>
      <c r="D2939" s="2">
        <v>5126377081</v>
      </c>
    </row>
    <row r="2940" spans="2:4" x14ac:dyDescent="0.25">
      <c r="B2940" t="str">
        <f>T("   Thaïlande")</f>
        <v xml:space="preserve">   Thaïlande</v>
      </c>
      <c r="C2940" s="2">
        <v>1817548</v>
      </c>
      <c r="D2940" s="2">
        <v>1563544529</v>
      </c>
    </row>
    <row r="2941" spans="2:4" x14ac:dyDescent="0.25">
      <c r="B2941" t="str">
        <f>T("   Tunisie")</f>
        <v xml:space="preserve">   Tunisie</v>
      </c>
      <c r="C2941" s="2">
        <v>407617</v>
      </c>
      <c r="D2941" s="2">
        <v>378405514</v>
      </c>
    </row>
    <row r="2942" spans="2:4" x14ac:dyDescent="0.25">
      <c r="B2942" t="str">
        <f>T("   Turquie")</f>
        <v xml:space="preserve">   Turquie</v>
      </c>
      <c r="C2942" s="2">
        <v>4466849</v>
      </c>
      <c r="D2942" s="2">
        <v>18738069789</v>
      </c>
    </row>
    <row r="2943" spans="2:4" x14ac:dyDescent="0.25">
      <c r="B2943" t="str">
        <f>T("   Taïwan, Province de Chine")</f>
        <v xml:space="preserve">   Taïwan, Province de Chine</v>
      </c>
      <c r="C2943" s="2">
        <v>2107506</v>
      </c>
      <c r="D2943" s="2">
        <v>1285446403</v>
      </c>
    </row>
    <row r="2944" spans="2:4" x14ac:dyDescent="0.25">
      <c r="B2944" t="str">
        <f>T("   Tanzanie")</f>
        <v xml:space="preserve">   Tanzanie</v>
      </c>
      <c r="C2944" s="2">
        <v>8694</v>
      </c>
      <c r="D2944" s="2">
        <v>31159806</v>
      </c>
    </row>
    <row r="2945" spans="1:4" x14ac:dyDescent="0.25">
      <c r="B2945" t="str">
        <f>T("   Ukraine")</f>
        <v xml:space="preserve">   Ukraine</v>
      </c>
      <c r="C2945" s="2">
        <v>8553</v>
      </c>
      <c r="D2945" s="2">
        <v>28669848</v>
      </c>
    </row>
    <row r="2946" spans="1:4" x14ac:dyDescent="0.25">
      <c r="B2946" t="str">
        <f>T("   Ouganda")</f>
        <v xml:space="preserve">   Ouganda</v>
      </c>
      <c r="C2946" s="2">
        <v>19923</v>
      </c>
      <c r="D2946" s="2">
        <v>3035420</v>
      </c>
    </row>
    <row r="2947" spans="1:4" x14ac:dyDescent="0.25">
      <c r="B2947" t="str">
        <f>T("   Etats-Unis")</f>
        <v xml:space="preserve">   Etats-Unis</v>
      </c>
      <c r="C2947" s="2">
        <v>1063319.95</v>
      </c>
      <c r="D2947" s="2">
        <v>5606716843</v>
      </c>
    </row>
    <row r="2948" spans="1:4" x14ac:dyDescent="0.25">
      <c r="B2948" t="str">
        <f>T("   Vietnam")</f>
        <v xml:space="preserve">   Vietnam</v>
      </c>
      <c r="C2948" s="2">
        <v>41315654</v>
      </c>
      <c r="D2948" s="2">
        <v>15285099223</v>
      </c>
    </row>
    <row r="2949" spans="1:4" x14ac:dyDescent="0.25">
      <c r="B2949" t="str">
        <f>T("   Afrique du Sud")</f>
        <v xml:space="preserve">   Afrique du Sud</v>
      </c>
      <c r="C2949" s="2">
        <v>18863591.5</v>
      </c>
      <c r="D2949" s="2">
        <v>2456223199</v>
      </c>
    </row>
    <row r="2950" spans="1:4" x14ac:dyDescent="0.25">
      <c r="B2950" t="str">
        <f>T("   Zambie")</f>
        <v xml:space="preserve">   Zambie</v>
      </c>
      <c r="C2950" s="2">
        <v>1300</v>
      </c>
      <c r="D2950" s="2">
        <v>1516000</v>
      </c>
    </row>
    <row r="2951" spans="1:4" s="6" customFormat="1" x14ac:dyDescent="0.25">
      <c r="B2951" s="6" t="str">
        <f>T("   Total Monde")</f>
        <v xml:space="preserve">   Total Monde</v>
      </c>
      <c r="C2951" s="1">
        <v>917948818.39999998</v>
      </c>
      <c r="D2951" s="1">
        <v>357208146304</v>
      </c>
    </row>
    <row r="2954" spans="1:4" x14ac:dyDescent="0.25">
      <c r="A2954" t="s">
        <v>13</v>
      </c>
    </row>
  </sheetData>
  <pageMargins left="0.7" right="0.7" top="0.75" bottom="0.75" header="0.3" footer="0.3"/>
</worksheet>
</file>